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RES\1_STP\4_GEPU\9. MISE EN OEUVRE ZONAGE EP\Outils de calcul\"/>
    </mc:Choice>
  </mc:AlternateContent>
  <bookViews>
    <workbookView xWindow="5688" yWindow="-276" windowWidth="14556" windowHeight="10728"/>
  </bookViews>
  <sheets>
    <sheet name="Mode d'emploi" sheetId="1" r:id="rId1"/>
    <sheet name="Estimation de V30" sheetId="14" r:id="rId2"/>
    <sheet name="Feuill calcul Estimation V30" sheetId="11" state="hidden" r:id="rId3"/>
    <sheet name="Section A" sheetId="16" r:id="rId4"/>
    <sheet name="Feuille calcul V30 section A" sheetId="15" state="hidden" r:id="rId5"/>
    <sheet name="Section B" sheetId="17" r:id="rId6"/>
    <sheet name="Feuille calcul V30 section B" sheetId="18" state="hidden" r:id="rId7"/>
    <sheet name="Pluie exceptionnelles" sheetId="20" r:id="rId8"/>
    <sheet name="méth pluie 0-24H coef SDA_2024" sheetId="12" state="hidden" r:id="rId9"/>
    <sheet name="INFILTRATION" sheetId="13" state="hidden" r:id="rId10"/>
    <sheet name="paramètres" sheetId="4" state="hidden" r:id="rId11"/>
  </sheets>
  <calcPr calcId="152511"/>
</workbook>
</file>

<file path=xl/calcChain.xml><?xml version="1.0" encoding="utf-8"?>
<calcChain xmlns="http://schemas.openxmlformats.org/spreadsheetml/2006/main">
  <c r="E17" i="16" l="1"/>
  <c r="E17" i="20" l="1"/>
  <c r="F6" i="20" l="1"/>
  <c r="F7" i="20"/>
  <c r="F8" i="20"/>
  <c r="F9" i="20"/>
  <c r="E10" i="20"/>
  <c r="D10" i="20"/>
  <c r="F20" i="17"/>
  <c r="D42" i="17" s="1"/>
  <c r="D43" i="17" s="1"/>
  <c r="E20" i="17"/>
  <c r="D25" i="17" l="1"/>
  <c r="D32" i="17"/>
  <c r="D21" i="20"/>
  <c r="D22" i="20" s="1"/>
  <c r="B30" i="12" s="1"/>
  <c r="F10" i="20"/>
  <c r="D11" i="20"/>
  <c r="F5" i="20"/>
  <c r="F11" i="20" s="1"/>
  <c r="B29" i="12" s="1"/>
  <c r="E26" i="16"/>
  <c r="C2" i="12" l="1"/>
  <c r="D35" i="17" l="1"/>
  <c r="E10" i="16"/>
  <c r="F10" i="14"/>
  <c r="E27" i="16" l="1"/>
  <c r="F9" i="17" l="1"/>
  <c r="W15" i="18"/>
  <c r="Y14" i="18"/>
  <c r="Y13" i="18"/>
  <c r="Y12" i="18"/>
  <c r="Y11" i="18"/>
  <c r="Y10" i="18"/>
  <c r="M10" i="18"/>
  <c r="Y9" i="18"/>
  <c r="Y8" i="18"/>
  <c r="Y7" i="18"/>
  <c r="Y6" i="18"/>
  <c r="Y5" i="18"/>
  <c r="Y4" i="18"/>
  <c r="D12" i="17"/>
  <c r="F11" i="17"/>
  <c r="F10" i="17"/>
  <c r="F8" i="17"/>
  <c r="F7" i="17"/>
  <c r="F6" i="17"/>
  <c r="F5" i="17"/>
  <c r="Y15" i="18" l="1"/>
  <c r="F12" i="17"/>
  <c r="G1" i="18" s="1"/>
  <c r="D26" i="17"/>
  <c r="D36" i="17"/>
  <c r="D22" i="16"/>
  <c r="E28" i="16" s="1"/>
  <c r="E29" i="16" s="1"/>
  <c r="F8" i="16"/>
  <c r="D11" i="16"/>
  <c r="F10" i="16"/>
  <c r="F9" i="16"/>
  <c r="F7" i="16"/>
  <c r="F6" i="16"/>
  <c r="F5" i="16"/>
  <c r="W15" i="15"/>
  <c r="Y14" i="15"/>
  <c r="Y13" i="15"/>
  <c r="Y12" i="15"/>
  <c r="Y11" i="15"/>
  <c r="Y10" i="15"/>
  <c r="M10" i="15"/>
  <c r="Y9" i="15"/>
  <c r="Y8" i="15"/>
  <c r="Y7" i="15"/>
  <c r="Y6" i="15"/>
  <c r="Y5" i="15"/>
  <c r="Y4" i="15"/>
  <c r="F7" i="14"/>
  <c r="F8" i="14"/>
  <c r="F9" i="14"/>
  <c r="F6" i="14"/>
  <c r="D11" i="14"/>
  <c r="Y15" i="15" l="1"/>
  <c r="D33" i="17"/>
  <c r="G2" i="18"/>
  <c r="G3" i="18" s="1"/>
  <c r="E37" i="18" s="1"/>
  <c r="T10" i="18"/>
  <c r="G2" i="15"/>
  <c r="G3" i="15" s="1"/>
  <c r="E39" i="15" s="1"/>
  <c r="D23" i="16"/>
  <c r="F11" i="16"/>
  <c r="G1" i="15" s="1"/>
  <c r="F11" i="14"/>
  <c r="G1" i="11" s="1"/>
  <c r="B4" i="13"/>
  <c r="B5" i="13" s="1"/>
  <c r="E38" i="18" l="1"/>
  <c r="E30" i="18"/>
  <c r="E32" i="18"/>
  <c r="E28" i="18"/>
  <c r="E35" i="18"/>
  <c r="E39" i="18"/>
  <c r="E29" i="18"/>
  <c r="E36" i="18"/>
  <c r="E31" i="18"/>
  <c r="E33" i="18"/>
  <c r="E34" i="18"/>
  <c r="E28" i="15"/>
  <c r="E29" i="15"/>
  <c r="E35" i="15"/>
  <c r="E32" i="15"/>
  <c r="E37" i="15"/>
  <c r="E36" i="15"/>
  <c r="E38" i="15"/>
  <c r="E31" i="15"/>
  <c r="E34" i="15"/>
  <c r="E33" i="15"/>
  <c r="T10" i="15"/>
  <c r="E30" i="15"/>
  <c r="D4" i="13"/>
  <c r="F4" i="13" s="1"/>
  <c r="Y4" i="11"/>
  <c r="Y5" i="11"/>
  <c r="Y6" i="11"/>
  <c r="Y7" i="11"/>
  <c r="Y8" i="11"/>
  <c r="Y9" i="11"/>
  <c r="W15" i="11"/>
  <c r="B27" i="12"/>
  <c r="B26" i="12"/>
  <c r="B25" i="12"/>
  <c r="B24" i="12"/>
  <c r="B23" i="12"/>
  <c r="B22" i="12"/>
  <c r="B21" i="12"/>
  <c r="B20" i="12"/>
  <c r="B19" i="12"/>
  <c r="B18" i="12"/>
  <c r="B17" i="12"/>
  <c r="B16" i="12"/>
  <c r="B15" i="12"/>
  <c r="B14" i="12"/>
  <c r="B13" i="12"/>
  <c r="B12" i="12"/>
  <c r="B11" i="12"/>
  <c r="B10" i="12"/>
  <c r="B9" i="12"/>
  <c r="B8" i="12"/>
  <c r="B7" i="12"/>
  <c r="B6" i="12"/>
  <c r="B5" i="12"/>
  <c r="B4" i="12"/>
  <c r="B3" i="12"/>
  <c r="B2" i="12"/>
  <c r="Y14" i="11"/>
  <c r="Y13" i="11"/>
  <c r="Y12" i="11"/>
  <c r="Y11" i="11"/>
  <c r="Y10" i="11"/>
  <c r="M28" i="18" l="1"/>
  <c r="M28" i="15"/>
  <c r="Y15" i="11"/>
  <c r="D37" i="17" l="1"/>
  <c r="D38" i="17" s="1"/>
  <c r="C13" i="12" l="1"/>
  <c r="C15" i="12"/>
  <c r="C24" i="12"/>
  <c r="C5" i="12"/>
  <c r="C27" i="12"/>
  <c r="C14" i="12"/>
  <c r="C11" i="12"/>
  <c r="C22" i="12"/>
  <c r="C17" i="12"/>
  <c r="C3" i="12"/>
  <c r="C26" i="12"/>
  <c r="C4" i="12"/>
  <c r="C21" i="12"/>
  <c r="C8" i="12"/>
  <c r="C10" i="12"/>
  <c r="C6" i="12"/>
  <c r="C23" i="12"/>
  <c r="C9" i="12"/>
  <c r="C20" i="12"/>
  <c r="C16" i="12"/>
  <c r="C7" i="12"/>
  <c r="C12" i="12"/>
  <c r="C25" i="12"/>
  <c r="C18" i="12"/>
  <c r="C19" i="12"/>
  <c r="E2" i="12" l="1"/>
  <c r="G2" i="12"/>
  <c r="G10" i="12"/>
  <c r="I10" i="12"/>
  <c r="E10" i="12"/>
  <c r="G22" i="12"/>
  <c r="I22" i="12"/>
  <c r="E22" i="12"/>
  <c r="G5" i="12"/>
  <c r="E5" i="12"/>
  <c r="I5" i="12"/>
  <c r="I12" i="12"/>
  <c r="G12" i="12"/>
  <c r="E12" i="12"/>
  <c r="E9" i="12"/>
  <c r="I9" i="12"/>
  <c r="G9" i="12"/>
  <c r="I2" i="12"/>
  <c r="I26" i="12"/>
  <c r="E26" i="12"/>
  <c r="G26" i="12"/>
  <c r="I11" i="12"/>
  <c r="E11" i="12"/>
  <c r="G11" i="12"/>
  <c r="I24" i="12"/>
  <c r="G24" i="12"/>
  <c r="E24" i="12"/>
  <c r="I25" i="12"/>
  <c r="G25" i="12"/>
  <c r="E25" i="12"/>
  <c r="E4" i="12"/>
  <c r="G4" i="12"/>
  <c r="I4" i="12"/>
  <c r="I19" i="12"/>
  <c r="G19" i="12"/>
  <c r="E19" i="12"/>
  <c r="I7" i="12"/>
  <c r="E7" i="12"/>
  <c r="G7" i="12"/>
  <c r="E23" i="12"/>
  <c r="G23" i="12"/>
  <c r="I23" i="12"/>
  <c r="G8" i="12"/>
  <c r="I8" i="12"/>
  <c r="E8" i="12"/>
  <c r="I3" i="12"/>
  <c r="E3" i="12"/>
  <c r="G3" i="12"/>
  <c r="E14" i="12"/>
  <c r="I14" i="12"/>
  <c r="G14" i="12"/>
  <c r="I15" i="12"/>
  <c r="E15" i="12"/>
  <c r="G15" i="12"/>
  <c r="I20" i="12"/>
  <c r="G20" i="12"/>
  <c r="E20" i="12"/>
  <c r="E18" i="12"/>
  <c r="I18" i="12"/>
  <c r="G18" i="12"/>
  <c r="E16" i="12"/>
  <c r="I16" i="12"/>
  <c r="G16" i="12"/>
  <c r="E6" i="12"/>
  <c r="G6" i="12"/>
  <c r="I6" i="12"/>
  <c r="E21" i="12"/>
  <c r="I21" i="12"/>
  <c r="G21" i="12"/>
  <c r="I17" i="12"/>
  <c r="G17" i="12"/>
  <c r="E17" i="12"/>
  <c r="I27" i="12"/>
  <c r="E27" i="12"/>
  <c r="G27" i="12"/>
  <c r="G13" i="12"/>
  <c r="E13" i="12"/>
  <c r="I13" i="12"/>
  <c r="B31" i="12" l="1"/>
  <c r="B32" i="12" s="1"/>
  <c r="B33" i="12" s="1"/>
  <c r="B34" i="12"/>
  <c r="B35" i="12" s="1"/>
  <c r="B36" i="12" s="1"/>
  <c r="B37" i="12"/>
  <c r="B38" i="12" s="1"/>
  <c r="M10" i="11"/>
  <c r="T10" i="11" s="1"/>
  <c r="G3" i="11"/>
  <c r="E38" i="11" s="1"/>
  <c r="T15" i="4"/>
  <c r="S15" i="4"/>
  <c r="T14" i="4"/>
  <c r="S14" i="4"/>
  <c r="T13" i="4"/>
  <c r="S13" i="4"/>
  <c r="T12" i="4"/>
  <c r="S12" i="4"/>
  <c r="T11" i="4"/>
  <c r="S11" i="4"/>
  <c r="T10" i="4"/>
  <c r="S10" i="4"/>
  <c r="T9" i="4"/>
  <c r="S9" i="4"/>
  <c r="C17" i="11" s="1"/>
  <c r="J17" i="11" s="1"/>
  <c r="Q17" i="11" s="1"/>
  <c r="T8" i="4"/>
  <c r="S8" i="4"/>
  <c r="T7" i="4"/>
  <c r="S7" i="4"/>
  <c r="T6" i="4"/>
  <c r="S6" i="4"/>
  <c r="T5" i="4"/>
  <c r="S5" i="4"/>
  <c r="T4" i="4"/>
  <c r="S4" i="4"/>
  <c r="D11" i="11" l="1"/>
  <c r="K11" i="11" s="1"/>
  <c r="R11" i="11" s="1"/>
  <c r="C16" i="11"/>
  <c r="J16" i="11" s="1"/>
  <c r="Q16" i="11" s="1"/>
  <c r="F15" i="11"/>
  <c r="M15" i="11" s="1"/>
  <c r="T15" i="11" s="1"/>
  <c r="B39" i="12"/>
  <c r="D24" i="20"/>
  <c r="E10" i="11"/>
  <c r="L10" i="11" s="1"/>
  <c r="S10" i="11" s="1"/>
  <c r="E21" i="18"/>
  <c r="L21" i="18" s="1"/>
  <c r="S21" i="18" s="1"/>
  <c r="L39" i="18" s="1"/>
  <c r="E17" i="18"/>
  <c r="L17" i="18" s="1"/>
  <c r="S17" i="18" s="1"/>
  <c r="L35" i="18" s="1"/>
  <c r="E11" i="18"/>
  <c r="L11" i="18" s="1"/>
  <c r="S11" i="18" s="1"/>
  <c r="L29" i="18" s="1"/>
  <c r="E15" i="18"/>
  <c r="L15" i="18" s="1"/>
  <c r="S15" i="18" s="1"/>
  <c r="L33" i="18" s="1"/>
  <c r="E20" i="18"/>
  <c r="L20" i="18" s="1"/>
  <c r="S20" i="18" s="1"/>
  <c r="L38" i="18" s="1"/>
  <c r="E19" i="18"/>
  <c r="L19" i="18" s="1"/>
  <c r="S19" i="18" s="1"/>
  <c r="L37" i="18" s="1"/>
  <c r="E12" i="18"/>
  <c r="L12" i="18" s="1"/>
  <c r="S12" i="18" s="1"/>
  <c r="L30" i="18" s="1"/>
  <c r="E18" i="18"/>
  <c r="L18" i="18" s="1"/>
  <c r="S18" i="18" s="1"/>
  <c r="L36" i="18" s="1"/>
  <c r="E16" i="18"/>
  <c r="L16" i="18" s="1"/>
  <c r="S16" i="18" s="1"/>
  <c r="L34" i="18" s="1"/>
  <c r="E14" i="18"/>
  <c r="L14" i="18" s="1"/>
  <c r="S14" i="18" s="1"/>
  <c r="L32" i="18" s="1"/>
  <c r="E13" i="18"/>
  <c r="L13" i="18" s="1"/>
  <c r="S13" i="18" s="1"/>
  <c r="L31" i="18" s="1"/>
  <c r="E10" i="18"/>
  <c r="L10" i="18" s="1"/>
  <c r="S10" i="18" s="1"/>
  <c r="L28" i="18" s="1"/>
  <c r="E20" i="15"/>
  <c r="L20" i="15" s="1"/>
  <c r="S20" i="15" s="1"/>
  <c r="L38" i="15" s="1"/>
  <c r="E15" i="15"/>
  <c r="L15" i="15" s="1"/>
  <c r="S15" i="15" s="1"/>
  <c r="L33" i="15" s="1"/>
  <c r="E12" i="15"/>
  <c r="L12" i="15" s="1"/>
  <c r="S12" i="15" s="1"/>
  <c r="L30" i="15" s="1"/>
  <c r="E19" i="15"/>
  <c r="L19" i="15" s="1"/>
  <c r="S19" i="15" s="1"/>
  <c r="L37" i="15" s="1"/>
  <c r="E21" i="15"/>
  <c r="L21" i="15" s="1"/>
  <c r="S21" i="15" s="1"/>
  <c r="L39" i="15" s="1"/>
  <c r="E10" i="15"/>
  <c r="L10" i="15" s="1"/>
  <c r="S10" i="15" s="1"/>
  <c r="L28" i="15" s="1"/>
  <c r="E17" i="15"/>
  <c r="L17" i="15" s="1"/>
  <c r="S17" i="15" s="1"/>
  <c r="L35" i="15" s="1"/>
  <c r="E13" i="15"/>
  <c r="L13" i="15" s="1"/>
  <c r="S13" i="15" s="1"/>
  <c r="L31" i="15" s="1"/>
  <c r="E14" i="15"/>
  <c r="L14" i="15" s="1"/>
  <c r="S14" i="15" s="1"/>
  <c r="L32" i="15" s="1"/>
  <c r="E11" i="15"/>
  <c r="L11" i="15" s="1"/>
  <c r="S11" i="15" s="1"/>
  <c r="L29" i="15" s="1"/>
  <c r="E18" i="15"/>
  <c r="L18" i="15" s="1"/>
  <c r="S18" i="15" s="1"/>
  <c r="L36" i="15" s="1"/>
  <c r="E16" i="15"/>
  <c r="L16" i="15" s="1"/>
  <c r="S16" i="15" s="1"/>
  <c r="L34" i="15" s="1"/>
  <c r="B19" i="11"/>
  <c r="I19" i="11" s="1"/>
  <c r="P19" i="11" s="1"/>
  <c r="B17" i="18"/>
  <c r="I17" i="18" s="1"/>
  <c r="P17" i="18" s="1"/>
  <c r="I35" i="18" s="1"/>
  <c r="B11" i="18"/>
  <c r="I11" i="18" s="1"/>
  <c r="P11" i="18" s="1"/>
  <c r="I29" i="18" s="1"/>
  <c r="B20" i="18"/>
  <c r="I20" i="18" s="1"/>
  <c r="P20" i="18" s="1"/>
  <c r="I38" i="18" s="1"/>
  <c r="B19" i="18"/>
  <c r="I19" i="18" s="1"/>
  <c r="P19" i="18" s="1"/>
  <c r="I37" i="18" s="1"/>
  <c r="B14" i="18"/>
  <c r="I14" i="18" s="1"/>
  <c r="P14" i="18" s="1"/>
  <c r="I32" i="18" s="1"/>
  <c r="B16" i="18"/>
  <c r="I16" i="18" s="1"/>
  <c r="P16" i="18" s="1"/>
  <c r="I34" i="18" s="1"/>
  <c r="B21" i="18"/>
  <c r="I21" i="18" s="1"/>
  <c r="P21" i="18" s="1"/>
  <c r="I39" i="18" s="1"/>
  <c r="B13" i="18"/>
  <c r="I13" i="18" s="1"/>
  <c r="P13" i="18" s="1"/>
  <c r="I31" i="18" s="1"/>
  <c r="B10" i="18"/>
  <c r="I10" i="18" s="1"/>
  <c r="P10" i="18" s="1"/>
  <c r="I28" i="18" s="1"/>
  <c r="B15" i="18"/>
  <c r="I15" i="18" s="1"/>
  <c r="P15" i="18" s="1"/>
  <c r="I33" i="18" s="1"/>
  <c r="B12" i="18"/>
  <c r="I12" i="18" s="1"/>
  <c r="P12" i="18" s="1"/>
  <c r="I30" i="18" s="1"/>
  <c r="B18" i="18"/>
  <c r="I18" i="18" s="1"/>
  <c r="P18" i="18" s="1"/>
  <c r="I36" i="18" s="1"/>
  <c r="B20" i="15"/>
  <c r="I20" i="15" s="1"/>
  <c r="P20" i="15" s="1"/>
  <c r="I38" i="15" s="1"/>
  <c r="B10" i="15"/>
  <c r="I10" i="15" s="1"/>
  <c r="P10" i="15" s="1"/>
  <c r="I28" i="15" s="1"/>
  <c r="B16" i="15"/>
  <c r="I16" i="15" s="1"/>
  <c r="P16" i="15" s="1"/>
  <c r="I34" i="15" s="1"/>
  <c r="B14" i="15"/>
  <c r="I14" i="15" s="1"/>
  <c r="P14" i="15" s="1"/>
  <c r="I32" i="15" s="1"/>
  <c r="B19" i="15"/>
  <c r="I19" i="15" s="1"/>
  <c r="P19" i="15" s="1"/>
  <c r="I37" i="15" s="1"/>
  <c r="B17" i="15"/>
  <c r="I17" i="15" s="1"/>
  <c r="P17" i="15" s="1"/>
  <c r="I35" i="15" s="1"/>
  <c r="B13" i="15"/>
  <c r="I13" i="15" s="1"/>
  <c r="P13" i="15" s="1"/>
  <c r="I31" i="15" s="1"/>
  <c r="B21" i="15"/>
  <c r="I21" i="15" s="1"/>
  <c r="P21" i="15" s="1"/>
  <c r="I39" i="15" s="1"/>
  <c r="B12" i="15"/>
  <c r="I12" i="15" s="1"/>
  <c r="P12" i="15" s="1"/>
  <c r="I30" i="15" s="1"/>
  <c r="B18" i="15"/>
  <c r="I18" i="15" s="1"/>
  <c r="P18" i="15" s="1"/>
  <c r="I36" i="15" s="1"/>
  <c r="B15" i="15"/>
  <c r="I15" i="15" s="1"/>
  <c r="P15" i="15" s="1"/>
  <c r="I33" i="15" s="1"/>
  <c r="B11" i="15"/>
  <c r="I11" i="15" s="1"/>
  <c r="P11" i="15" s="1"/>
  <c r="I29" i="15" s="1"/>
  <c r="F16" i="11"/>
  <c r="M16" i="11" s="1"/>
  <c r="T16" i="11" s="1"/>
  <c r="B16" i="11"/>
  <c r="I16" i="11" s="1"/>
  <c r="P16" i="11" s="1"/>
  <c r="B15" i="11"/>
  <c r="I15" i="11" s="1"/>
  <c r="P15" i="11" s="1"/>
  <c r="C18" i="11"/>
  <c r="J18" i="11" s="1"/>
  <c r="Q18" i="11" s="1"/>
  <c r="C16" i="18"/>
  <c r="J16" i="18" s="1"/>
  <c r="Q16" i="18" s="1"/>
  <c r="J34" i="18" s="1"/>
  <c r="C12" i="18"/>
  <c r="J12" i="18" s="1"/>
  <c r="Q12" i="18" s="1"/>
  <c r="J30" i="18" s="1"/>
  <c r="C11" i="18"/>
  <c r="J11" i="18" s="1"/>
  <c r="Q11" i="18" s="1"/>
  <c r="J29" i="18" s="1"/>
  <c r="C13" i="18"/>
  <c r="J13" i="18" s="1"/>
  <c r="Q13" i="18" s="1"/>
  <c r="J31" i="18" s="1"/>
  <c r="C10" i="18"/>
  <c r="J10" i="18" s="1"/>
  <c r="Q10" i="18" s="1"/>
  <c r="J28" i="18" s="1"/>
  <c r="C15" i="18"/>
  <c r="J15" i="18" s="1"/>
  <c r="Q15" i="18" s="1"/>
  <c r="J33" i="18" s="1"/>
  <c r="C21" i="18"/>
  <c r="J21" i="18" s="1"/>
  <c r="Q21" i="18" s="1"/>
  <c r="J39" i="18" s="1"/>
  <c r="C18" i="18"/>
  <c r="J18" i="18" s="1"/>
  <c r="Q18" i="18" s="1"/>
  <c r="J36" i="18" s="1"/>
  <c r="C20" i="18"/>
  <c r="J20" i="18" s="1"/>
  <c r="Q20" i="18" s="1"/>
  <c r="J38" i="18" s="1"/>
  <c r="C19" i="18"/>
  <c r="J19" i="18" s="1"/>
  <c r="Q19" i="18" s="1"/>
  <c r="J37" i="18" s="1"/>
  <c r="C14" i="18"/>
  <c r="J14" i="18" s="1"/>
  <c r="Q14" i="18" s="1"/>
  <c r="J32" i="18" s="1"/>
  <c r="C17" i="18"/>
  <c r="J17" i="18" s="1"/>
  <c r="Q17" i="18" s="1"/>
  <c r="J35" i="18" s="1"/>
  <c r="C19" i="15"/>
  <c r="J19" i="15" s="1"/>
  <c r="Q19" i="15" s="1"/>
  <c r="J37" i="15" s="1"/>
  <c r="C16" i="15"/>
  <c r="J16" i="15" s="1"/>
  <c r="Q16" i="15" s="1"/>
  <c r="J34" i="15" s="1"/>
  <c r="C13" i="15"/>
  <c r="J13" i="15" s="1"/>
  <c r="Q13" i="15" s="1"/>
  <c r="J31" i="15" s="1"/>
  <c r="C17" i="15"/>
  <c r="J17" i="15" s="1"/>
  <c r="Q17" i="15" s="1"/>
  <c r="J35" i="15" s="1"/>
  <c r="C15" i="15"/>
  <c r="J15" i="15" s="1"/>
  <c r="Q15" i="15" s="1"/>
  <c r="J33" i="15" s="1"/>
  <c r="C11" i="15"/>
  <c r="J11" i="15" s="1"/>
  <c r="Q11" i="15" s="1"/>
  <c r="J29" i="15" s="1"/>
  <c r="C20" i="15"/>
  <c r="J20" i="15" s="1"/>
  <c r="Q20" i="15" s="1"/>
  <c r="J38" i="15" s="1"/>
  <c r="C21" i="15"/>
  <c r="J21" i="15" s="1"/>
  <c r="Q21" i="15" s="1"/>
  <c r="J39" i="15" s="1"/>
  <c r="C14" i="15"/>
  <c r="J14" i="15" s="1"/>
  <c r="Q14" i="15" s="1"/>
  <c r="J32" i="15" s="1"/>
  <c r="C10" i="15"/>
  <c r="J10" i="15" s="1"/>
  <c r="Q10" i="15" s="1"/>
  <c r="J28" i="15" s="1"/>
  <c r="C12" i="15"/>
  <c r="J12" i="15" s="1"/>
  <c r="Q12" i="15" s="1"/>
  <c r="J30" i="15" s="1"/>
  <c r="C18" i="15"/>
  <c r="J18" i="15" s="1"/>
  <c r="Q18" i="15" s="1"/>
  <c r="J36" i="15" s="1"/>
  <c r="B18" i="11"/>
  <c r="I18" i="11" s="1"/>
  <c r="P18" i="11" s="1"/>
  <c r="F17" i="11"/>
  <c r="M17" i="11" s="1"/>
  <c r="T17" i="11" s="1"/>
  <c r="F15" i="18"/>
  <c r="M15" i="18" s="1"/>
  <c r="T15" i="18" s="1"/>
  <c r="M33" i="18" s="1"/>
  <c r="F14" i="18"/>
  <c r="M14" i="18" s="1"/>
  <c r="T14" i="18" s="1"/>
  <c r="M32" i="18" s="1"/>
  <c r="F20" i="18"/>
  <c r="M20" i="18" s="1"/>
  <c r="T20" i="18" s="1"/>
  <c r="M38" i="18" s="1"/>
  <c r="F19" i="18"/>
  <c r="M19" i="18" s="1"/>
  <c r="T19" i="18" s="1"/>
  <c r="M37" i="18" s="1"/>
  <c r="F12" i="18"/>
  <c r="M12" i="18" s="1"/>
  <c r="T12" i="18" s="1"/>
  <c r="M30" i="18" s="1"/>
  <c r="F21" i="18"/>
  <c r="M21" i="18" s="1"/>
  <c r="T21" i="18" s="1"/>
  <c r="M39" i="18" s="1"/>
  <c r="F18" i="18"/>
  <c r="M18" i="18" s="1"/>
  <c r="T18" i="18" s="1"/>
  <c r="M36" i="18" s="1"/>
  <c r="F16" i="18"/>
  <c r="M16" i="18" s="1"/>
  <c r="T16" i="18" s="1"/>
  <c r="M34" i="18" s="1"/>
  <c r="F13" i="18"/>
  <c r="M13" i="18" s="1"/>
  <c r="T13" i="18" s="1"/>
  <c r="M31" i="18" s="1"/>
  <c r="F17" i="18"/>
  <c r="M17" i="18" s="1"/>
  <c r="T17" i="18" s="1"/>
  <c r="M35" i="18" s="1"/>
  <c r="F11" i="18"/>
  <c r="M11" i="18" s="1"/>
  <c r="T11" i="18" s="1"/>
  <c r="M29" i="18" s="1"/>
  <c r="F21" i="15"/>
  <c r="M21" i="15" s="1"/>
  <c r="T21" i="15" s="1"/>
  <c r="M39" i="15" s="1"/>
  <c r="F15" i="15"/>
  <c r="M15" i="15" s="1"/>
  <c r="T15" i="15" s="1"/>
  <c r="M33" i="15" s="1"/>
  <c r="F12" i="15"/>
  <c r="M12" i="15" s="1"/>
  <c r="T12" i="15" s="1"/>
  <c r="M30" i="15" s="1"/>
  <c r="F17" i="15"/>
  <c r="M17" i="15" s="1"/>
  <c r="T17" i="15" s="1"/>
  <c r="M35" i="15" s="1"/>
  <c r="F16" i="15"/>
  <c r="M16" i="15" s="1"/>
  <c r="T16" i="15" s="1"/>
  <c r="M34" i="15" s="1"/>
  <c r="F14" i="15"/>
  <c r="M14" i="15" s="1"/>
  <c r="T14" i="15" s="1"/>
  <c r="M32" i="15" s="1"/>
  <c r="F13" i="15"/>
  <c r="M13" i="15" s="1"/>
  <c r="T13" i="15" s="1"/>
  <c r="M31" i="15" s="1"/>
  <c r="F11" i="15"/>
  <c r="M11" i="15" s="1"/>
  <c r="T11" i="15" s="1"/>
  <c r="M29" i="15" s="1"/>
  <c r="F19" i="15"/>
  <c r="M19" i="15" s="1"/>
  <c r="T19" i="15" s="1"/>
  <c r="M37" i="15" s="1"/>
  <c r="F18" i="15"/>
  <c r="M18" i="15" s="1"/>
  <c r="T18" i="15" s="1"/>
  <c r="M36" i="15" s="1"/>
  <c r="F20" i="15"/>
  <c r="M20" i="15" s="1"/>
  <c r="T20" i="15" s="1"/>
  <c r="M38" i="15" s="1"/>
  <c r="D13" i="11"/>
  <c r="K13" i="11" s="1"/>
  <c r="R13" i="11" s="1"/>
  <c r="D13" i="18"/>
  <c r="K13" i="18" s="1"/>
  <c r="R13" i="18" s="1"/>
  <c r="K31" i="18" s="1"/>
  <c r="D10" i="18"/>
  <c r="K10" i="18" s="1"/>
  <c r="R10" i="18" s="1"/>
  <c r="K28" i="18" s="1"/>
  <c r="D19" i="18"/>
  <c r="K19" i="18" s="1"/>
  <c r="R19" i="18" s="1"/>
  <c r="K37" i="18" s="1"/>
  <c r="D16" i="18"/>
  <c r="K16" i="18" s="1"/>
  <c r="R16" i="18" s="1"/>
  <c r="K34" i="18" s="1"/>
  <c r="D17" i="18"/>
  <c r="K17" i="18" s="1"/>
  <c r="R17" i="18" s="1"/>
  <c r="K35" i="18" s="1"/>
  <c r="D15" i="18"/>
  <c r="K15" i="18" s="1"/>
  <c r="R15" i="18" s="1"/>
  <c r="K33" i="18" s="1"/>
  <c r="D20" i="18"/>
  <c r="K20" i="18" s="1"/>
  <c r="R20" i="18" s="1"/>
  <c r="K38" i="18" s="1"/>
  <c r="D12" i="18"/>
  <c r="K12" i="18" s="1"/>
  <c r="R12" i="18" s="1"/>
  <c r="K30" i="18" s="1"/>
  <c r="D14" i="18"/>
  <c r="K14" i="18" s="1"/>
  <c r="R14" i="18" s="1"/>
  <c r="K32" i="18" s="1"/>
  <c r="D11" i="18"/>
  <c r="K11" i="18" s="1"/>
  <c r="R11" i="18" s="1"/>
  <c r="K29" i="18" s="1"/>
  <c r="D21" i="18"/>
  <c r="K21" i="18" s="1"/>
  <c r="R21" i="18" s="1"/>
  <c r="K39" i="18" s="1"/>
  <c r="D18" i="18"/>
  <c r="K18" i="18" s="1"/>
  <c r="R18" i="18" s="1"/>
  <c r="K36" i="18" s="1"/>
  <c r="D20" i="15"/>
  <c r="K20" i="15" s="1"/>
  <c r="R20" i="15" s="1"/>
  <c r="K38" i="15" s="1"/>
  <c r="D21" i="15"/>
  <c r="K21" i="15" s="1"/>
  <c r="R21" i="15" s="1"/>
  <c r="K39" i="15" s="1"/>
  <c r="D10" i="15"/>
  <c r="K10" i="15" s="1"/>
  <c r="R10" i="15" s="1"/>
  <c r="K28" i="15" s="1"/>
  <c r="D17" i="15"/>
  <c r="K17" i="15" s="1"/>
  <c r="R17" i="15" s="1"/>
  <c r="K35" i="15" s="1"/>
  <c r="D16" i="15"/>
  <c r="K16" i="15" s="1"/>
  <c r="R16" i="15" s="1"/>
  <c r="K34" i="15" s="1"/>
  <c r="D15" i="15"/>
  <c r="K15" i="15" s="1"/>
  <c r="R15" i="15" s="1"/>
  <c r="K33" i="15" s="1"/>
  <c r="D14" i="15"/>
  <c r="K14" i="15" s="1"/>
  <c r="R14" i="15" s="1"/>
  <c r="K32" i="15" s="1"/>
  <c r="D13" i="15"/>
  <c r="K13" i="15" s="1"/>
  <c r="R13" i="15" s="1"/>
  <c r="K31" i="15" s="1"/>
  <c r="D12" i="15"/>
  <c r="K12" i="15" s="1"/>
  <c r="R12" i="15" s="1"/>
  <c r="K30" i="15" s="1"/>
  <c r="D11" i="15"/>
  <c r="K11" i="15" s="1"/>
  <c r="R11" i="15" s="1"/>
  <c r="K29" i="15" s="1"/>
  <c r="D19" i="15"/>
  <c r="K19" i="15" s="1"/>
  <c r="R19" i="15" s="1"/>
  <c r="K37" i="15" s="1"/>
  <c r="D18" i="15"/>
  <c r="K18" i="15" s="1"/>
  <c r="R18" i="15" s="1"/>
  <c r="K36" i="15" s="1"/>
  <c r="B17" i="11"/>
  <c r="I17" i="11" s="1"/>
  <c r="P17" i="11" s="1"/>
  <c r="B14" i="11"/>
  <c r="I14" i="11" s="1"/>
  <c r="C10" i="11"/>
  <c r="J10" i="11" s="1"/>
  <c r="Q10" i="11" s="1"/>
  <c r="C15" i="11"/>
  <c r="J15" i="11" s="1"/>
  <c r="Q15" i="11" s="1"/>
  <c r="D18" i="11"/>
  <c r="K18" i="11" s="1"/>
  <c r="R18" i="11" s="1"/>
  <c r="F11" i="11"/>
  <c r="M11" i="11" s="1"/>
  <c r="T11" i="11" s="1"/>
  <c r="F14" i="11"/>
  <c r="M14" i="11" s="1"/>
  <c r="T14" i="11" s="1"/>
  <c r="E13" i="11"/>
  <c r="L13" i="11" s="1"/>
  <c r="S13" i="11" s="1"/>
  <c r="E21" i="11"/>
  <c r="L21" i="11" s="1"/>
  <c r="S21" i="11" s="1"/>
  <c r="E17" i="11"/>
  <c r="L17" i="11" s="1"/>
  <c r="S17" i="11" s="1"/>
  <c r="E14" i="11"/>
  <c r="L14" i="11" s="1"/>
  <c r="S14" i="11" s="1"/>
  <c r="E18" i="11"/>
  <c r="L18" i="11" s="1"/>
  <c r="S18" i="11" s="1"/>
  <c r="E20" i="11"/>
  <c r="L20" i="11" s="1"/>
  <c r="S20" i="11" s="1"/>
  <c r="L38" i="11" s="1"/>
  <c r="E15" i="11"/>
  <c r="L15" i="11" s="1"/>
  <c r="S15" i="11" s="1"/>
  <c r="E16" i="11"/>
  <c r="L16" i="11" s="1"/>
  <c r="S16" i="11" s="1"/>
  <c r="E12" i="11"/>
  <c r="L12" i="11" s="1"/>
  <c r="S12" i="11" s="1"/>
  <c r="E11" i="11"/>
  <c r="L11" i="11" s="1"/>
  <c r="S11" i="11" s="1"/>
  <c r="E19" i="11"/>
  <c r="L19" i="11" s="1"/>
  <c r="S19" i="11" s="1"/>
  <c r="D19" i="11"/>
  <c r="K19" i="11" s="1"/>
  <c r="R19" i="11" s="1"/>
  <c r="B13" i="11"/>
  <c r="I13" i="11" s="1"/>
  <c r="P13" i="11" s="1"/>
  <c r="C11" i="11"/>
  <c r="J11" i="11" s="1"/>
  <c r="Q11" i="11" s="1"/>
  <c r="C14" i="11"/>
  <c r="J14" i="11" s="1"/>
  <c r="Q14" i="11" s="1"/>
  <c r="D17" i="11"/>
  <c r="K17" i="11" s="1"/>
  <c r="R17" i="11" s="1"/>
  <c r="F21" i="11"/>
  <c r="M21" i="11" s="1"/>
  <c r="T21" i="11" s="1"/>
  <c r="F13" i="11"/>
  <c r="M13" i="11" s="1"/>
  <c r="T13" i="11" s="1"/>
  <c r="B12" i="11"/>
  <c r="I12" i="11" s="1"/>
  <c r="P12" i="11" s="1"/>
  <c r="C21" i="11"/>
  <c r="J21" i="11" s="1"/>
  <c r="Q21" i="11" s="1"/>
  <c r="C13" i="11"/>
  <c r="J13" i="11" s="1"/>
  <c r="Q13" i="11" s="1"/>
  <c r="D16" i="11"/>
  <c r="K16" i="11" s="1"/>
  <c r="R16" i="11" s="1"/>
  <c r="F20" i="11"/>
  <c r="M20" i="11" s="1"/>
  <c r="T20" i="11" s="1"/>
  <c r="M38" i="11" s="1"/>
  <c r="F12" i="11"/>
  <c r="M12" i="11" s="1"/>
  <c r="T12" i="11" s="1"/>
  <c r="D20" i="11"/>
  <c r="K20" i="11" s="1"/>
  <c r="R20" i="11" s="1"/>
  <c r="K38" i="11" s="1"/>
  <c r="D12" i="11"/>
  <c r="K12" i="11" s="1"/>
  <c r="R12" i="11" s="1"/>
  <c r="B21" i="11"/>
  <c r="I21" i="11" s="1"/>
  <c r="P21" i="11" s="1"/>
  <c r="C20" i="11"/>
  <c r="J20" i="11" s="1"/>
  <c r="Q20" i="11" s="1"/>
  <c r="J38" i="11" s="1"/>
  <c r="C12" i="11"/>
  <c r="J12" i="11" s="1"/>
  <c r="Q12" i="11" s="1"/>
  <c r="D15" i="11"/>
  <c r="K15" i="11" s="1"/>
  <c r="R15" i="11" s="1"/>
  <c r="F19" i="11"/>
  <c r="M19" i="11" s="1"/>
  <c r="T19" i="11" s="1"/>
  <c r="B10" i="11"/>
  <c r="I10" i="11" s="1"/>
  <c r="P10" i="11" s="1"/>
  <c r="B20" i="11"/>
  <c r="I20" i="11" s="1"/>
  <c r="P20" i="11" s="1"/>
  <c r="I38" i="11" s="1"/>
  <c r="C19" i="11"/>
  <c r="J19" i="11" s="1"/>
  <c r="Q19" i="11" s="1"/>
  <c r="D10" i="11"/>
  <c r="K10" i="11" s="1"/>
  <c r="R10" i="11" s="1"/>
  <c r="D14" i="11"/>
  <c r="K14" i="11" s="1"/>
  <c r="R14" i="11" s="1"/>
  <c r="F18" i="11"/>
  <c r="M18" i="11" s="1"/>
  <c r="T18" i="11" s="1"/>
  <c r="B11" i="11"/>
  <c r="I11" i="11" s="1"/>
  <c r="P11" i="11" s="1"/>
  <c r="D21" i="11"/>
  <c r="K21" i="11" s="1"/>
  <c r="R21" i="11" s="1"/>
  <c r="P14" i="11"/>
  <c r="E31" i="11"/>
  <c r="K31" i="11" s="1"/>
  <c r="E35" i="11"/>
  <c r="E39" i="11"/>
  <c r="E28" i="11"/>
  <c r="E32" i="11"/>
  <c r="E36" i="11"/>
  <c r="E29" i="11"/>
  <c r="E33" i="11"/>
  <c r="E37" i="11"/>
  <c r="E30" i="11"/>
  <c r="E34" i="11"/>
  <c r="S27" i="18" l="1"/>
  <c r="D28" i="17"/>
  <c r="D45" i="17" s="1"/>
  <c r="S26" i="15"/>
  <c r="D26" i="16"/>
  <c r="S26" i="18"/>
  <c r="S27" i="15"/>
  <c r="J31" i="11"/>
  <c r="K37" i="11"/>
  <c r="M37" i="11"/>
  <c r="L37" i="11"/>
  <c r="I33" i="11"/>
  <c r="M33" i="11"/>
  <c r="I28" i="11"/>
  <c r="M28" i="11"/>
  <c r="L28" i="11"/>
  <c r="K34" i="11"/>
  <c r="M34" i="11"/>
  <c r="K29" i="11"/>
  <c r="M29" i="11"/>
  <c r="K39" i="11"/>
  <c r="M39" i="11"/>
  <c r="J37" i="11"/>
  <c r="K32" i="11"/>
  <c r="M32" i="11"/>
  <c r="I31" i="11"/>
  <c r="M31" i="11"/>
  <c r="K30" i="11"/>
  <c r="M30" i="11"/>
  <c r="L36" i="11"/>
  <c r="M36" i="11"/>
  <c r="L35" i="11"/>
  <c r="M35" i="11"/>
  <c r="J33" i="11"/>
  <c r="I37" i="11"/>
  <c r="J36" i="11"/>
  <c r="J32" i="11"/>
  <c r="J28" i="11"/>
  <c r="L32" i="11"/>
  <c r="K28" i="11"/>
  <c r="I36" i="11"/>
  <c r="I32" i="11"/>
  <c r="L33" i="11"/>
  <c r="K33" i="11"/>
  <c r="J39" i="11"/>
  <c r="J35" i="11"/>
  <c r="L31" i="11"/>
  <c r="I39" i="11"/>
  <c r="I35" i="11"/>
  <c r="L39" i="11"/>
  <c r="L30" i="11"/>
  <c r="K36" i="11"/>
  <c r="J34" i="11"/>
  <c r="J30" i="11"/>
  <c r="L29" i="11"/>
  <c r="I34" i="11"/>
  <c r="I30" i="11"/>
  <c r="K35" i="11"/>
  <c r="J29" i="11"/>
  <c r="L34" i="11"/>
  <c r="I29" i="11"/>
  <c r="D27" i="16" l="1"/>
  <c r="D28" i="16"/>
  <c r="D29" i="16" s="1"/>
  <c r="D46" i="17"/>
  <c r="D47" i="17"/>
  <c r="D48" i="17" s="1"/>
  <c r="D13" i="14"/>
  <c r="S26" i="11"/>
  <c r="B6" i="13" s="1"/>
  <c r="B7" i="13" s="1"/>
  <c r="S27" i="11"/>
</calcChain>
</file>

<file path=xl/comments1.xml><?xml version="1.0" encoding="utf-8"?>
<comments xmlns="http://schemas.openxmlformats.org/spreadsheetml/2006/main">
  <authors>
    <author>Philippe CUSENIER</author>
  </authors>
  <commentList>
    <comment ref="C6" authorId="0" shapeId="0">
      <text>
        <r>
          <rPr>
            <sz val="9"/>
            <color indexed="81"/>
            <rFont val="Tahoma"/>
            <family val="2"/>
          </rPr>
          <t>Par exemple : toitures classiques, accès ou stationnements en bitume, terrasses en béton, dallages avec couche de mortier…</t>
        </r>
      </text>
    </comment>
    <comment ref="C7" authorId="0" shapeId="0">
      <text>
        <r>
          <rPr>
            <sz val="9"/>
            <color indexed="81"/>
            <rFont val="Tahoma"/>
            <family val="2"/>
          </rPr>
          <t>Par exemple : espaces en gravier, stationnements en matériaux poreux, terrasses en bois sur terre, espaces verts sur dalle, toitures végétalisées...</t>
        </r>
      </text>
    </comment>
    <comment ref="C8" authorId="0" shapeId="0">
      <text>
        <r>
          <rPr>
            <sz val="9"/>
            <color indexed="81"/>
            <rFont val="Tahoma"/>
            <family val="2"/>
          </rPr>
          <t>Continuité avec la terre naturelle</t>
        </r>
      </text>
    </comment>
    <comment ref="C9" authorId="0" shapeId="0">
      <text>
        <r>
          <rPr>
            <sz val="9"/>
            <color indexed="81"/>
            <rFont val="Tahoma"/>
            <family val="2"/>
          </rPr>
          <t>Surfaces conçues de manière à infiltrer toutes les eaux sur place et à éviter ainsi tout ruissellement vers l’aval (par exemple, espaces verts en pleine terre et « en creux »)</t>
        </r>
      </text>
    </comment>
  </commentList>
</comments>
</file>

<file path=xl/comments2.xml><?xml version="1.0" encoding="utf-8"?>
<comments xmlns="http://schemas.openxmlformats.org/spreadsheetml/2006/main">
  <authors>
    <author>Philippe CUSENIER</author>
  </authors>
  <commentList>
    <comment ref="C5" authorId="0" shapeId="0">
      <text>
        <r>
          <rPr>
            <sz val="9"/>
            <color indexed="81"/>
            <rFont val="Tahoma"/>
            <family val="2"/>
          </rPr>
          <t>Par exemple : toitures classiques, accès ou stationnements en bitume, terrasses en béton, dallages avec couche de mortier…</t>
        </r>
      </text>
    </comment>
    <comment ref="C6" authorId="0" shapeId="0">
      <text>
        <r>
          <rPr>
            <sz val="9"/>
            <color indexed="81"/>
            <rFont val="Tahoma"/>
            <family val="2"/>
          </rPr>
          <t>Par exemple : espaces en gravier, stationnements en matériaux poreux, terrasses en bois sur terre, espaces verts sur dalle, toitures végétalisées...</t>
        </r>
      </text>
    </comment>
    <comment ref="C7" authorId="0" shapeId="0">
      <text>
        <r>
          <rPr>
            <sz val="9"/>
            <color indexed="81"/>
            <rFont val="Tahoma"/>
            <family val="2"/>
          </rPr>
          <t>Continuité avec la terre naturelle</t>
        </r>
      </text>
    </comment>
    <comment ref="C9" authorId="0" shapeId="0">
      <text>
        <r>
          <rPr>
            <sz val="9"/>
            <color indexed="81"/>
            <rFont val="Tahoma"/>
            <family val="2"/>
          </rPr>
          <t>Surfaces conçues de manière à infiltrer toutes les eaux sur place et à éviter ainsi tout ruissellement vers l’aval (par exemple, espaces verts en pleine terre et « en creux »)</t>
        </r>
      </text>
    </comment>
  </commentList>
</comments>
</file>

<file path=xl/comments3.xml><?xml version="1.0" encoding="utf-8"?>
<comments xmlns="http://schemas.openxmlformats.org/spreadsheetml/2006/main">
  <authors>
    <author>Philippe CUSENIER</author>
  </authors>
  <commentList>
    <comment ref="C5" authorId="0" shapeId="0">
      <text>
        <r>
          <rPr>
            <sz val="9"/>
            <color indexed="81"/>
            <rFont val="Tahoma"/>
            <family val="2"/>
          </rPr>
          <t>Par exemple : toitures classiques, accès ou stationnements en bitume, terrasses en béton, dallages avec couche de mortier…</t>
        </r>
      </text>
    </comment>
    <comment ref="C6" authorId="0" shapeId="0">
      <text>
        <r>
          <rPr>
            <sz val="9"/>
            <color indexed="81"/>
            <rFont val="Tahoma"/>
            <family val="2"/>
          </rPr>
          <t>Par exemple : espaces en gravier, stationnements en matériaux poreux, terrasses en bois sur terre, espaces verts sur dalle, toitures végétalisées...</t>
        </r>
      </text>
    </comment>
    <comment ref="C7" authorId="0" shapeId="0">
      <text>
        <r>
          <rPr>
            <sz val="9"/>
            <color indexed="81"/>
            <rFont val="Tahoma"/>
            <family val="2"/>
          </rPr>
          <t>Continuité avec la terre naturelle</t>
        </r>
      </text>
    </comment>
    <comment ref="C10" authorId="0" shapeId="0">
      <text>
        <r>
          <rPr>
            <sz val="9"/>
            <color indexed="81"/>
            <rFont val="Tahoma"/>
            <family val="2"/>
          </rPr>
          <t>Surfaces conçues de manière à infiltrer toutes les eaux sur place et à éviter ainsi tout ruissellement vers l’aval (par exemple, espaces verts en pleine terre et « en creux »)</t>
        </r>
      </text>
    </comment>
  </commentList>
</comments>
</file>

<file path=xl/comments4.xml><?xml version="1.0" encoding="utf-8"?>
<comments xmlns="http://schemas.openxmlformats.org/spreadsheetml/2006/main">
  <authors>
    <author>Philippe CUSENIER</author>
  </authors>
  <commentList>
    <comment ref="C5" authorId="0" shapeId="0">
      <text>
        <r>
          <rPr>
            <sz val="9"/>
            <color indexed="81"/>
            <rFont val="Tahoma"/>
            <family val="2"/>
          </rPr>
          <t>Par exemple : toitures classiques, accès ou stationnements en bitume, terrasses en béton, dallages avec couche de mortier…</t>
        </r>
      </text>
    </comment>
    <comment ref="C6" authorId="0" shapeId="0">
      <text>
        <r>
          <rPr>
            <sz val="9"/>
            <color indexed="81"/>
            <rFont val="Tahoma"/>
            <family val="2"/>
          </rPr>
          <t>Par exemple : espaces en gravier, stationnements en matériaux poreux, terrasses en bois sur terre, espaces verts sur dalle, toitures végétalisées...</t>
        </r>
      </text>
    </comment>
    <comment ref="C7" authorId="0" shapeId="0">
      <text>
        <r>
          <rPr>
            <sz val="9"/>
            <color indexed="81"/>
            <rFont val="Tahoma"/>
            <family val="2"/>
          </rPr>
          <t>Continuité avec la terre naturelle</t>
        </r>
      </text>
    </comment>
    <comment ref="C9" authorId="0" shapeId="0">
      <text>
        <r>
          <rPr>
            <sz val="9"/>
            <color indexed="81"/>
            <rFont val="Tahoma"/>
            <family val="2"/>
          </rPr>
          <t>Surfaces conçues de manière à infiltrer toutes les eaux sur place et à éviter ainsi tout ruissellement vers l’aval (par exemple, espaces verts en pleine terre et « en creux »)</t>
        </r>
      </text>
    </comment>
  </commentList>
</comments>
</file>

<file path=xl/sharedStrings.xml><?xml version="1.0" encoding="utf-8"?>
<sst xmlns="http://schemas.openxmlformats.org/spreadsheetml/2006/main" count="417" uniqueCount="175">
  <si>
    <t>surface active de la parcelle :</t>
  </si>
  <si>
    <t>m²</t>
  </si>
  <si>
    <t>débit de fuite :</t>
  </si>
  <si>
    <r>
      <t>m</t>
    </r>
    <r>
      <rPr>
        <vertAlign val="superscript"/>
        <sz val="14"/>
        <color indexed="8"/>
        <rFont val="Verdana"/>
        <family val="2"/>
      </rPr>
      <t>3</t>
    </r>
    <r>
      <rPr>
        <sz val="14"/>
        <color indexed="8"/>
        <rFont val="Verdana"/>
        <family val="2"/>
      </rPr>
      <t>/s</t>
    </r>
  </si>
  <si>
    <r>
      <t>m</t>
    </r>
    <r>
      <rPr>
        <vertAlign val="superscript"/>
        <sz val="14"/>
        <color indexed="8"/>
        <rFont val="Verdana"/>
        <family val="2"/>
      </rPr>
      <t>3</t>
    </r>
    <r>
      <rPr>
        <sz val="14"/>
        <color indexed="8"/>
        <rFont val="Verdana"/>
        <family val="2"/>
      </rPr>
      <t>/min</t>
    </r>
  </si>
  <si>
    <t>temps</t>
  </si>
  <si>
    <t>Intensité en mm/min</t>
  </si>
  <si>
    <t>Hauteur précipitée en mm</t>
  </si>
  <si>
    <r>
      <t>Volume précipité en m</t>
    </r>
    <r>
      <rPr>
        <b/>
        <vertAlign val="superscript"/>
        <sz val="10"/>
        <rFont val="Arial"/>
        <family val="2"/>
      </rPr>
      <t>3</t>
    </r>
  </si>
  <si>
    <t>min</t>
  </si>
  <si>
    <t>1 an</t>
  </si>
  <si>
    <t>2 ans</t>
  </si>
  <si>
    <t>5 ans</t>
  </si>
  <si>
    <t>10 ans</t>
  </si>
  <si>
    <t xml:space="preserve">Volume </t>
  </si>
  <si>
    <r>
      <t>Volume à retenir en m</t>
    </r>
    <r>
      <rPr>
        <b/>
        <vertAlign val="superscript"/>
        <sz val="10"/>
        <rFont val="Arial"/>
        <family val="2"/>
      </rPr>
      <t>3</t>
    </r>
  </si>
  <si>
    <t>évacué</t>
  </si>
  <si>
    <t>mm</t>
  </si>
  <si>
    <t>Période de retour T=</t>
  </si>
  <si>
    <t>Paramètres</t>
  </si>
  <si>
    <t>Formules</t>
  </si>
  <si>
    <t>superficielles</t>
  </si>
  <si>
    <t>a(F)</t>
  </si>
  <si>
    <t>b(F)</t>
  </si>
  <si>
    <t>I</t>
  </si>
  <si>
    <t>C</t>
  </si>
  <si>
    <t>A</t>
  </si>
  <si>
    <t>ha</t>
  </si>
  <si>
    <t>l/s</t>
  </si>
  <si>
    <t>Données extraites de la circulaire 1977</t>
  </si>
  <si>
    <t>Données extraites de l'étude SEAF avec des pluies entre 1965-2001 issues de la station d'Orléans</t>
  </si>
  <si>
    <t>étude sur le parc ADELIS de St Jean de la Ruelle/Ingré</t>
  </si>
  <si>
    <t>m3</t>
  </si>
  <si>
    <t>temps de vidange</t>
  </si>
  <si>
    <t>heures</t>
  </si>
  <si>
    <t>Cumul de pluie - Orléans Métropole - 6 minutes à 2 heures</t>
  </si>
  <si>
    <r>
      <t>d'après la formule de Montana i</t>
    </r>
    <r>
      <rPr>
        <vertAlign val="subscript"/>
        <sz val="12"/>
        <rFont val="Arial"/>
        <family val="2"/>
      </rPr>
      <t>(mm/min)</t>
    </r>
    <r>
      <rPr>
        <sz val="12"/>
        <rFont val="Arial"/>
        <family val="2"/>
      </rPr>
      <t>=at</t>
    </r>
    <r>
      <rPr>
        <vertAlign val="superscript"/>
        <sz val="12"/>
        <rFont val="Arial"/>
        <family val="2"/>
      </rPr>
      <t>b</t>
    </r>
  </si>
  <si>
    <t>coef Bricy</t>
  </si>
  <si>
    <t>coef orléans Métropole</t>
  </si>
  <si>
    <t>T : période de retour</t>
  </si>
  <si>
    <t>T</t>
  </si>
  <si>
    <t>a</t>
  </si>
  <si>
    <t>b</t>
  </si>
  <si>
    <t>1 mois</t>
  </si>
  <si>
    <t>2 mois</t>
  </si>
  <si>
    <t>3 mois</t>
  </si>
  <si>
    <t>6 mois</t>
  </si>
  <si>
    <t>20 ans</t>
  </si>
  <si>
    <t>30 ans</t>
  </si>
  <si>
    <t>50 ans</t>
  </si>
  <si>
    <t>100 ans</t>
  </si>
  <si>
    <t>hauteur de pluie précipitée en mm</t>
  </si>
  <si>
    <t>durée en minutes</t>
  </si>
  <si>
    <r>
      <t>en m</t>
    </r>
    <r>
      <rPr>
        <vertAlign val="superscript"/>
        <sz val="10"/>
        <color theme="0" tint="-0.249977111117893"/>
        <rFont val="Arial"/>
        <family val="2"/>
      </rPr>
      <t>3</t>
    </r>
    <r>
      <rPr>
        <sz val="10"/>
        <color theme="0" tint="-0.249977111117893"/>
        <rFont val="Arial"/>
        <family val="2"/>
      </rPr>
      <t>/s</t>
    </r>
  </si>
  <si>
    <t>Sa</t>
  </si>
  <si>
    <t>Batiment- Toiture</t>
  </si>
  <si>
    <t>Prairie</t>
  </si>
  <si>
    <t>Lots</t>
  </si>
  <si>
    <t>Voirie</t>
  </si>
  <si>
    <t>Parking (non poreux)</t>
  </si>
  <si>
    <t>Béton désactivé</t>
  </si>
  <si>
    <t>Toiture végétalisée</t>
  </si>
  <si>
    <t>Revêtement de stationnement type evergreen</t>
  </si>
  <si>
    <t>Espaces verts</t>
  </si>
  <si>
    <t>Allée calcaire</t>
  </si>
  <si>
    <t>S (m²)</t>
  </si>
  <si>
    <t>durée en heures</t>
  </si>
  <si>
    <t>h fuite en mm</t>
  </si>
  <si>
    <t>H pluie 30 ans</t>
  </si>
  <si>
    <t>dif</t>
  </si>
  <si>
    <t>H pluie 10 ans</t>
  </si>
  <si>
    <t>H pluie 100 ans</t>
  </si>
  <si>
    <t>Qfuite</t>
  </si>
  <si>
    <t>H max 10ans</t>
  </si>
  <si>
    <t>Vol 10 ans</t>
  </si>
  <si>
    <t>H max 30ans</t>
  </si>
  <si>
    <t>Vol 30 ans</t>
  </si>
  <si>
    <t>H max 100ans</t>
  </si>
  <si>
    <t>Vol 100 ans</t>
  </si>
  <si>
    <t>Bassin</t>
  </si>
  <si>
    <t>TOTAUX</t>
  </si>
  <si>
    <t>Sa (m²)</t>
  </si>
  <si>
    <t>Volume à stocker pluie 30 ans</t>
  </si>
  <si>
    <r>
      <t>m</t>
    </r>
    <r>
      <rPr>
        <vertAlign val="superscript"/>
        <sz val="10"/>
        <rFont val="Arial"/>
        <family val="2"/>
      </rPr>
      <t>3</t>
    </r>
  </si>
  <si>
    <t>Volume à stocker pluie 10 ans</t>
  </si>
  <si>
    <t>vérifier dimensionnement pour pluie 0-24H</t>
  </si>
  <si>
    <t>Surface d'infiltration</t>
  </si>
  <si>
    <t>Vitesse infiltration</t>
  </si>
  <si>
    <t>m/s</t>
  </si>
  <si>
    <t>Débit de fuite</t>
  </si>
  <si>
    <t>Volume évacué 2 heures</t>
  </si>
  <si>
    <t>Volume à retenir</t>
  </si>
  <si>
    <t>Hauteur stockage</t>
  </si>
  <si>
    <t>m</t>
  </si>
  <si>
    <t>m3/min</t>
  </si>
  <si>
    <t>Type de surface</t>
  </si>
  <si>
    <t>Surface (en m²)</t>
  </si>
  <si>
    <t>Surfaces imperméables</t>
  </si>
  <si>
    <t>Espaces verts en pleine terre</t>
  </si>
  <si>
    <t>Surfaces déconnectées</t>
  </si>
  <si>
    <t>TOTAL</t>
  </si>
  <si>
    <t>Surface bassin versant amont</t>
  </si>
  <si>
    <t>Surface actives
(en m²)</t>
  </si>
  <si>
    <t>Coefficient</t>
  </si>
  <si>
    <r>
      <t>V</t>
    </r>
    <r>
      <rPr>
        <b/>
        <vertAlign val="subscript"/>
        <sz val="10"/>
        <color theme="1"/>
        <rFont val="Calibri"/>
        <family val="2"/>
        <scheme val="minor"/>
      </rPr>
      <t>30</t>
    </r>
    <r>
      <rPr>
        <b/>
        <sz val="10"/>
        <color theme="1"/>
        <rFont val="Calibri"/>
        <family val="2"/>
        <scheme val="minor"/>
      </rPr>
      <t>=</t>
    </r>
  </si>
  <si>
    <t>Section B</t>
  </si>
  <si>
    <t>mm/h</t>
  </si>
  <si>
    <t xml:space="preserve">Vitesse d'infiltration de référence issue des tests sur site (mm/h) </t>
  </si>
  <si>
    <t xml:space="preserve">Vitesse d'infiltration de référence issue des tests sur site (m/s) </t>
  </si>
  <si>
    <t>Vitesse d'infiltration de référence (m/s)</t>
  </si>
  <si>
    <t>Calcul de la surface active</t>
  </si>
  <si>
    <t>Capacités d'infiltration mesurées</t>
  </si>
  <si>
    <r>
      <rPr>
        <i/>
        <u/>
        <sz val="10"/>
        <color theme="1"/>
        <rFont val="Calibri"/>
        <family val="2"/>
        <scheme val="minor"/>
      </rPr>
      <t>Remarque</t>
    </r>
    <r>
      <rPr>
        <i/>
        <sz val="10"/>
        <color theme="1"/>
        <rFont val="Calibri"/>
        <family val="2"/>
        <scheme val="minor"/>
      </rPr>
      <t xml:space="preserve"> : Les capacités d'infiltration doivent être mesurées sur le site, à l'aide de tests adaptés</t>
    </r>
  </si>
  <si>
    <r>
      <t>Volume de stockage nécessaire (m</t>
    </r>
    <r>
      <rPr>
        <b/>
        <vertAlign val="superscript"/>
        <sz val="10"/>
        <color theme="1"/>
        <rFont val="Calibri"/>
        <family val="2"/>
        <scheme val="minor"/>
      </rPr>
      <t>3</t>
    </r>
    <r>
      <rPr>
        <b/>
        <sz val="10"/>
        <color theme="1"/>
        <rFont val="Calibri"/>
        <family val="2"/>
        <scheme val="minor"/>
      </rPr>
      <t>)   V</t>
    </r>
    <r>
      <rPr>
        <b/>
        <vertAlign val="subscript"/>
        <sz val="10"/>
        <color theme="1"/>
        <rFont val="Calibri"/>
        <family val="2"/>
        <scheme val="minor"/>
      </rPr>
      <t>30</t>
    </r>
  </si>
  <si>
    <r>
      <t>Débit d'infiltration (m</t>
    </r>
    <r>
      <rPr>
        <b/>
        <vertAlign val="superscript"/>
        <sz val="10"/>
        <color theme="1"/>
        <rFont val="Calibri"/>
        <family val="2"/>
        <scheme val="minor"/>
      </rPr>
      <t>3</t>
    </r>
    <r>
      <rPr>
        <b/>
        <sz val="10"/>
        <color theme="1"/>
        <rFont val="Calibri"/>
        <family val="2"/>
        <scheme val="minor"/>
      </rPr>
      <t>/s)                    Q</t>
    </r>
    <r>
      <rPr>
        <b/>
        <vertAlign val="subscript"/>
        <sz val="10"/>
        <color theme="1"/>
        <rFont val="Calibri"/>
        <family val="2"/>
        <scheme val="minor"/>
      </rPr>
      <t xml:space="preserve">inf </t>
    </r>
    <r>
      <rPr>
        <b/>
        <sz val="10"/>
        <color theme="1"/>
        <rFont val="Calibri"/>
        <family val="2"/>
        <scheme val="minor"/>
      </rPr>
      <t>=</t>
    </r>
  </si>
  <si>
    <r>
      <t>Débit d'infiltration (l/s)                      Q</t>
    </r>
    <r>
      <rPr>
        <b/>
        <vertAlign val="subscript"/>
        <sz val="10"/>
        <color theme="1"/>
        <rFont val="Calibri"/>
        <family val="2"/>
        <scheme val="minor"/>
      </rPr>
      <t xml:space="preserve">inf </t>
    </r>
    <r>
      <rPr>
        <b/>
        <sz val="10"/>
        <color theme="1"/>
        <rFont val="Calibri"/>
        <family val="2"/>
        <scheme val="minor"/>
      </rPr>
      <t>=</t>
    </r>
  </si>
  <si>
    <t>-UN SEUL DISPOSITIF DE FAIBLE PROFONDEUR</t>
  </si>
  <si>
    <r>
      <t>Débit d'infiltration (m</t>
    </r>
    <r>
      <rPr>
        <b/>
        <vertAlign val="superscript"/>
        <sz val="10"/>
        <color theme="1"/>
        <rFont val="Calibri"/>
        <family val="2"/>
        <scheme val="minor"/>
      </rPr>
      <t>3</t>
    </r>
    <r>
      <rPr>
        <b/>
        <sz val="10"/>
        <color theme="1"/>
        <rFont val="Calibri"/>
        <family val="2"/>
        <scheme val="minor"/>
      </rPr>
      <t>/s)                 Q</t>
    </r>
    <r>
      <rPr>
        <b/>
        <vertAlign val="subscript"/>
        <sz val="10"/>
        <color theme="1"/>
        <rFont val="Calibri"/>
        <family val="2"/>
        <scheme val="minor"/>
      </rPr>
      <t xml:space="preserve">inf </t>
    </r>
    <r>
      <rPr>
        <b/>
        <sz val="10"/>
        <color theme="1"/>
        <rFont val="Calibri"/>
        <family val="2"/>
        <scheme val="minor"/>
      </rPr>
      <t>=</t>
    </r>
  </si>
  <si>
    <t>Volume à stocker - Vidange par infiltration</t>
  </si>
  <si>
    <t>Volume à stocker pour les pluies courantes - Vidange par infiltration</t>
  </si>
  <si>
    <r>
      <t>Volume de stockage nécessaire (m</t>
    </r>
    <r>
      <rPr>
        <b/>
        <vertAlign val="superscript"/>
        <sz val="10"/>
        <color theme="1"/>
        <rFont val="Calibri"/>
        <family val="2"/>
        <scheme val="minor"/>
      </rPr>
      <t>3</t>
    </r>
    <r>
      <rPr>
        <b/>
        <sz val="10"/>
        <color theme="1"/>
        <rFont val="Calibri"/>
        <family val="2"/>
        <scheme val="minor"/>
      </rPr>
      <t>)   V</t>
    </r>
    <r>
      <rPr>
        <b/>
        <vertAlign val="subscript"/>
        <sz val="10"/>
        <color theme="1"/>
        <rFont val="Calibri"/>
        <family val="2"/>
        <scheme val="minor"/>
      </rPr>
      <t>1</t>
    </r>
  </si>
  <si>
    <t>-DEUX TYPES DE DISPOSITIFS DE FAIBLE ET FORTE PROFONDEUR</t>
  </si>
  <si>
    <r>
      <t>1 - ESTIMATION DE V</t>
    </r>
    <r>
      <rPr>
        <b/>
        <vertAlign val="subscript"/>
        <sz val="12"/>
        <color rgb="FF0070C0"/>
        <rFont val="Calibri"/>
        <family val="2"/>
        <scheme val="minor"/>
      </rPr>
      <t>30</t>
    </r>
  </si>
  <si>
    <t>Section A</t>
  </si>
  <si>
    <t>Volume à stocker  - Vidange par infiltration</t>
  </si>
  <si>
    <r>
      <t>Débit d'infiltration (l/s)                        Q</t>
    </r>
    <r>
      <rPr>
        <b/>
        <vertAlign val="subscript"/>
        <sz val="10"/>
        <color theme="1"/>
        <rFont val="Calibri"/>
        <family val="2"/>
        <scheme val="minor"/>
      </rPr>
      <t xml:space="preserve">inf </t>
    </r>
    <r>
      <rPr>
        <b/>
        <sz val="10"/>
        <color theme="1"/>
        <rFont val="Calibri"/>
        <family val="2"/>
        <scheme val="minor"/>
      </rPr>
      <t>=</t>
    </r>
  </si>
  <si>
    <r>
      <t>Volume de stockage nécessaire (m</t>
    </r>
    <r>
      <rPr>
        <b/>
        <vertAlign val="superscript"/>
        <sz val="10"/>
        <color theme="1"/>
        <rFont val="Calibri"/>
        <family val="2"/>
        <scheme val="minor"/>
      </rPr>
      <t>3</t>
    </r>
    <r>
      <rPr>
        <b/>
        <sz val="10"/>
        <color theme="1"/>
        <rFont val="Calibri"/>
        <family val="2"/>
        <scheme val="minor"/>
      </rPr>
      <t>)   V</t>
    </r>
    <r>
      <rPr>
        <b/>
        <vertAlign val="subscript"/>
        <sz val="10"/>
        <color theme="1"/>
        <rFont val="Calibri"/>
        <family val="2"/>
        <scheme val="minor"/>
      </rPr>
      <t>2</t>
    </r>
  </si>
  <si>
    <t>Alerte vidange longue (&gt;24h) ?</t>
  </si>
  <si>
    <t xml:space="preserve">Surfaces aménagées perméables </t>
  </si>
  <si>
    <t>Gestion via dispositifs de faible profondeur   =====&gt;</t>
  </si>
  <si>
    <t>Solution à privilégier :</t>
  </si>
  <si>
    <t xml:space="preserve">Solution alternative : </t>
  </si>
  <si>
    <t>Gestion mixte : dispositifs de faible et forte profondeur    ===&gt;</t>
  </si>
  <si>
    <t>Surfaces aménagées perméables non mobilisées en tant que dispositif de gestion</t>
  </si>
  <si>
    <t xml:space="preserve">Pluies courantes </t>
  </si>
  <si>
    <t>Alerte vidange longue (&gt;72h) ?</t>
  </si>
  <si>
    <t>Hauteur d'eau du dispositif de stockage (m)</t>
  </si>
  <si>
    <t xml:space="preserve">Temps de vidange (h) </t>
  </si>
  <si>
    <r>
      <t>Débit d'infiltration (m</t>
    </r>
    <r>
      <rPr>
        <b/>
        <vertAlign val="superscript"/>
        <sz val="10"/>
        <color theme="1"/>
        <rFont val="Calibri"/>
        <family val="2"/>
        <scheme val="minor"/>
      </rPr>
      <t>3</t>
    </r>
    <r>
      <rPr>
        <b/>
        <sz val="10"/>
        <color theme="1"/>
        <rFont val="Calibri"/>
        <family val="2"/>
        <scheme val="minor"/>
      </rPr>
      <t>/s)                  Q</t>
    </r>
    <r>
      <rPr>
        <b/>
        <vertAlign val="subscript"/>
        <sz val="10"/>
        <color theme="1"/>
        <rFont val="Calibri"/>
        <family val="2"/>
        <scheme val="minor"/>
      </rPr>
      <t xml:space="preserve">inf </t>
    </r>
    <r>
      <rPr>
        <b/>
        <sz val="10"/>
        <color theme="1"/>
        <rFont val="Calibri"/>
        <family val="2"/>
        <scheme val="minor"/>
      </rPr>
      <t>=</t>
    </r>
  </si>
  <si>
    <r>
      <t>Volume de stockage nécessaire (m</t>
    </r>
    <r>
      <rPr>
        <b/>
        <vertAlign val="superscript"/>
        <sz val="10"/>
        <rFont val="Calibri"/>
        <family val="2"/>
        <scheme val="minor"/>
      </rPr>
      <t>3</t>
    </r>
    <r>
      <rPr>
        <b/>
        <sz val="10"/>
        <rFont val="Calibri"/>
        <family val="2"/>
        <scheme val="minor"/>
      </rPr>
      <t>)</t>
    </r>
  </si>
  <si>
    <t xml:space="preserve">En cas d'impossibilité, étudier la gestion mixte (faible et forte profondeurs) : </t>
  </si>
  <si>
    <t>Si le temps de vidange est trop long, la surface mobilisée en tant que dispositif de gestion est à augmenter.</t>
  </si>
  <si>
    <t>Alerte vidange longue ?</t>
  </si>
  <si>
    <t>NOTICE D'UTILISATION DE L'OUTIL</t>
  </si>
  <si>
    <t>Objectifs et limites de l’outil :</t>
  </si>
  <si>
    <t>Principes généraux d’utilisation :</t>
  </si>
  <si>
    <r>
      <rPr>
        <b/>
        <sz val="11"/>
        <color theme="1"/>
        <rFont val="Calibri"/>
        <family val="2"/>
        <scheme val="minor"/>
      </rPr>
      <t xml:space="preserve">* </t>
    </r>
    <r>
      <rPr>
        <sz val="10"/>
        <rFont val="Calibri"/>
        <family val="2"/>
        <scheme val="minor"/>
      </rPr>
      <t xml:space="preserve">Cet outil est une </t>
    </r>
    <r>
      <rPr>
        <b/>
        <sz val="11"/>
        <color theme="1"/>
        <rFont val="Calibri"/>
        <family val="2"/>
        <scheme val="minor"/>
      </rPr>
      <t>aide au choix et au dimensionnement des dispositifs</t>
    </r>
    <r>
      <rPr>
        <sz val="10"/>
        <rFont val="Calibri"/>
        <family val="2"/>
        <scheme val="minor"/>
      </rPr>
      <t xml:space="preserve"> de gestion des eaux pluviales (pluies courantes et pluies moyennes à fortes). </t>
    </r>
  </si>
  <si>
    <r>
      <rPr>
        <b/>
        <sz val="11"/>
        <color theme="1"/>
        <rFont val="Calibri"/>
        <family val="2"/>
        <scheme val="minor"/>
      </rPr>
      <t xml:space="preserve">* </t>
    </r>
    <r>
      <rPr>
        <sz val="10"/>
        <rFont val="Calibri"/>
        <family val="2"/>
        <scheme val="minor"/>
      </rPr>
      <t xml:space="preserve">Cet outil n'est </t>
    </r>
    <r>
      <rPr>
        <b/>
        <sz val="11"/>
        <color theme="1"/>
        <rFont val="Calibri"/>
        <family val="2"/>
        <scheme val="minor"/>
      </rPr>
      <t xml:space="preserve">pas adapté aux projets de maisons individuelles "isolées" </t>
    </r>
    <r>
      <rPr>
        <sz val="10"/>
        <rFont val="Calibri"/>
        <family val="2"/>
        <scheme val="minor"/>
      </rPr>
      <t>(hors opération d'ensemble).</t>
    </r>
  </si>
  <si>
    <r>
      <rPr>
        <b/>
        <sz val="11"/>
        <color theme="1"/>
        <rFont val="Calibri"/>
        <family val="2"/>
        <scheme val="minor"/>
      </rPr>
      <t>*</t>
    </r>
    <r>
      <rPr>
        <sz val="10"/>
        <rFont val="Calibri"/>
        <family val="2"/>
        <scheme val="minor"/>
      </rPr>
      <t xml:space="preserve"> Cet outil est </t>
    </r>
    <r>
      <rPr>
        <b/>
        <sz val="11"/>
        <color theme="1"/>
        <rFont val="Calibri"/>
        <family val="2"/>
        <scheme val="minor"/>
      </rPr>
      <t xml:space="preserve">adapté aux projets de taille limitée </t>
    </r>
    <r>
      <rPr>
        <sz val="10"/>
        <rFont val="Calibri"/>
        <family val="2"/>
        <scheme val="minor"/>
      </rPr>
      <t xml:space="preserve">(jusqu' à environ 1 ha) </t>
    </r>
    <r>
      <rPr>
        <b/>
        <sz val="11"/>
        <color theme="1"/>
        <rFont val="Calibri"/>
        <family val="2"/>
        <scheme val="minor"/>
      </rPr>
      <t>et aux cas simples</t>
    </r>
    <r>
      <rPr>
        <sz val="10"/>
        <rFont val="Calibri"/>
        <family val="2"/>
        <scheme val="minor"/>
      </rPr>
      <t>, où les écoulements d'une surface aménagée ou d'un ensemble de surfaces aménagées sont collectés puis gérés (infiltrés) dans un dispositif unique, ou dans deux dispositifs complémentaires de gestion des pluies courantes et des pluies moyennes à fortes.</t>
    </r>
  </si>
  <si>
    <r>
      <rPr>
        <b/>
        <sz val="11"/>
        <color theme="1"/>
        <rFont val="Calibri"/>
        <family val="2"/>
        <scheme val="minor"/>
      </rPr>
      <t>* Cet outil n'est pas adapté au cas des "toitures stockantes"</t>
    </r>
    <r>
      <rPr>
        <sz val="10"/>
        <rFont val="Calibri"/>
        <family val="2"/>
        <scheme val="minor"/>
      </rPr>
      <t xml:space="preserve"> (toitures terrasses permettant la rétention temporaire et la régulation des débits sur le toit), qu'elles soient végétalisées ou non. </t>
    </r>
    <r>
      <rPr>
        <b/>
        <sz val="11"/>
        <color theme="1"/>
        <rFont val="Calibri"/>
        <family val="2"/>
        <scheme val="minor"/>
      </rPr>
      <t xml:space="preserve">Les surfaces de toitures stockantes ne doivent donc pas être comptabilisées dans les surfaces d'apport, </t>
    </r>
    <r>
      <rPr>
        <sz val="10"/>
        <rFont val="Calibri"/>
        <family val="2"/>
        <scheme val="minor"/>
      </rPr>
      <t>et le dimensionnement des toitures stockantes doit être réalisé par ailleurs. En revanche, les toitures végétalisées "non stockantes" (sans régulation des débits) doivent être comptabilisées dans les surfaces d'apport.</t>
    </r>
  </si>
  <si>
    <r>
      <rPr>
        <b/>
        <sz val="11"/>
        <color theme="1"/>
        <rFont val="Calibri"/>
        <family val="2"/>
        <scheme val="minor"/>
      </rPr>
      <t xml:space="preserve">* Les principales hypothèses à saisir </t>
    </r>
    <r>
      <rPr>
        <sz val="10"/>
        <rFont val="Calibri"/>
        <family val="2"/>
        <scheme val="minor"/>
      </rPr>
      <t>portent sur l’occupation des sols, la vitesse d’infiltration mesurée sur site, et la surface d'infiltration à considérer.</t>
    </r>
  </si>
  <si>
    <t xml:space="preserve">Modalité d'utilisation des différents onglets : </t>
  </si>
  <si>
    <r>
      <rPr>
        <b/>
        <sz val="11"/>
        <color theme="1"/>
        <rFont val="Calibri"/>
        <family val="2"/>
        <scheme val="minor"/>
      </rPr>
      <t xml:space="preserve">* Le dimensionnement des dispositifs se fait de manière itérative. </t>
    </r>
    <r>
      <rPr>
        <sz val="10"/>
        <rFont val="Calibri"/>
        <family val="2"/>
        <scheme val="minor"/>
      </rPr>
      <t>Il est nécessaire de faire de premières hypothèses, puis de les ajuster progressivement en fonction des résultats obtenus, pour aboutir à un dispositif présentant à la fois un volume de rétention suffisant, une durée de vidange et une hauteur de stockage convenables.</t>
    </r>
  </si>
  <si>
    <t>Gestion des pluies exceptionnelles</t>
  </si>
  <si>
    <r>
      <rPr>
        <b/>
        <sz val="11"/>
        <color theme="1"/>
        <rFont val="Calibri"/>
        <family val="2"/>
        <scheme val="minor"/>
      </rPr>
      <t>*Volet pluies exceptionnelles pour information</t>
    </r>
    <r>
      <rPr>
        <sz val="10"/>
        <rFont val="Calibri"/>
        <family val="2"/>
        <scheme val="minor"/>
      </rPr>
      <t xml:space="preserve">
Le volume à gérer pour une pluie centennale est donné à titre d'information : le zonage pluvial ne demande pas de stocker ce volume mais de prévoir les conséquences des pluies exceptionnelles (type centennale) sur le projet et sur l'aval.</t>
    </r>
  </si>
  <si>
    <r>
      <rPr>
        <b/>
        <sz val="11"/>
        <color theme="1"/>
        <rFont val="Calibri"/>
        <family val="2"/>
        <scheme val="minor"/>
      </rPr>
      <t>* Lorsque le projet comprend plusieurs parties dont les eaux pluviales sont gérées par des systèmes totalement indépendants (bassins versants), plusieurs calculs doivent être réalisés</t>
    </r>
    <r>
      <rPr>
        <sz val="10"/>
        <rFont val="Calibri"/>
        <family val="2"/>
        <scheme val="minor"/>
      </rPr>
      <t xml:space="preserve"> (autant de calculs que de systèmes indépendants), et </t>
    </r>
    <r>
      <rPr>
        <b/>
        <sz val="11"/>
        <color theme="1"/>
        <rFont val="Calibri"/>
        <family val="2"/>
        <scheme val="minor"/>
      </rPr>
      <t xml:space="preserve">cela doit bien être explicité </t>
    </r>
    <r>
      <rPr>
        <sz val="10"/>
        <rFont val="Calibri"/>
        <family val="2"/>
        <scheme val="minor"/>
      </rPr>
      <t>dans le dossier fourni.</t>
    </r>
  </si>
  <si>
    <r>
      <rPr>
        <b/>
        <sz val="11"/>
        <color theme="1"/>
        <rFont val="Calibri"/>
        <family val="2"/>
        <scheme val="minor"/>
      </rPr>
      <t>*</t>
    </r>
    <r>
      <rPr>
        <sz val="10"/>
        <rFont val="Calibri"/>
        <family val="2"/>
        <scheme val="minor"/>
      </rPr>
      <t xml:space="preserve"> </t>
    </r>
    <r>
      <rPr>
        <b/>
        <sz val="11"/>
        <color theme="1"/>
        <rFont val="Calibri"/>
        <family val="2"/>
        <scheme val="minor"/>
      </rPr>
      <t>Les hypothèses à saisir correspondent aux cases jaunes</t>
    </r>
    <r>
      <rPr>
        <sz val="10"/>
        <rFont val="Calibri"/>
        <family val="2"/>
        <scheme val="minor"/>
      </rPr>
      <t>. Les valeurs des cases bleues sont déterminées automatiquement.</t>
    </r>
  </si>
  <si>
    <r>
      <rPr>
        <b/>
        <sz val="11"/>
        <color theme="1"/>
        <rFont val="Calibri"/>
        <family val="2"/>
        <scheme val="minor"/>
      </rPr>
      <t>* Les principaux résultats fournis</t>
    </r>
    <r>
      <rPr>
        <sz val="10"/>
        <rFont val="Calibri"/>
        <family val="2"/>
        <scheme val="minor"/>
      </rPr>
      <t xml:space="preserve"> portent sur le volume nécessaire et la durée de vidange. Une alerte peut apparaître en cas de temps de vidange trop long (case rouge)</t>
    </r>
  </si>
  <si>
    <r>
      <t xml:space="preserve">* </t>
    </r>
    <r>
      <rPr>
        <b/>
        <sz val="10"/>
        <rFont val="Calibri"/>
        <family val="2"/>
        <scheme val="minor"/>
      </rPr>
      <t>Etape 1 : Onglet Estimation de V</t>
    </r>
    <r>
      <rPr>
        <b/>
        <vertAlign val="subscript"/>
        <sz val="10"/>
        <rFont val="Calibri"/>
        <family val="2"/>
        <scheme val="minor"/>
      </rPr>
      <t>30</t>
    </r>
    <r>
      <rPr>
        <b/>
        <sz val="10"/>
        <rFont val="Calibri"/>
        <family val="2"/>
        <scheme val="minor"/>
      </rPr>
      <t xml:space="preserve"> </t>
    </r>
    <r>
      <rPr>
        <sz val="10"/>
        <rFont val="Calibri"/>
        <family val="2"/>
        <scheme val="minor"/>
      </rPr>
      <t xml:space="preserve">--&gt; Cet onglet permet </t>
    </r>
    <r>
      <rPr>
        <b/>
        <sz val="10"/>
        <rFont val="Calibri"/>
        <family val="2"/>
        <scheme val="minor"/>
      </rPr>
      <t>d'estimer</t>
    </r>
    <r>
      <rPr>
        <sz val="10"/>
        <rFont val="Calibri"/>
        <family val="2"/>
        <scheme val="minor"/>
      </rPr>
      <t xml:space="preserve"> le volume d'eaux pluviales à gérer sur le périmètre défini en renseignant les différentes surfaces du projet.
</t>
    </r>
  </si>
  <si>
    <t>Pluie 30 ans</t>
  </si>
  <si>
    <t>Volume à stocker pour la pluie de référence 30 ans - Vidange par infiltration</t>
  </si>
  <si>
    <r>
      <t>*</t>
    </r>
    <r>
      <rPr>
        <b/>
        <sz val="10"/>
        <rFont val="Calibri"/>
        <family val="2"/>
        <scheme val="minor"/>
      </rPr>
      <t xml:space="preserve"> Etape 3 : Onglet section B</t>
    </r>
    <r>
      <rPr>
        <sz val="10"/>
        <rFont val="Calibri"/>
        <family val="2"/>
        <scheme val="minor"/>
      </rPr>
      <t xml:space="preserve"> --&gt; Cet onglet est à utiliser lorsqu'aucune solution n'a été trouvée pour assurer une gestion des eaux pluviales avec uniquement des dispositifs de faible profondeur (onglet A)
- Renseigner les surfaces du projet en distinguant bien les surfaces mobilisées en tant que dispositifs de faible profondeur de celles mobilisées en tant que dispositifs de forte profondeur
- Renseigner la vitesse d’infiltration de référence issue des tests réalisés sur le site
- Analyser les résultats : volume à stocker, hauteur d'eau, durée de vidange
Au regard de ces résultats le porteur de projet devra s'assurer que la profondeur du dispositif envisagé pour gérer les pluies courantes correspond bien à un dispositif de faible profondeur (&lt; 70 cm). 
Si besoin, ajuster l’occupation des sols (en augmentant les surfaces perméables ou en déconnectant des surfaces) et/ou la surface d'infiltration, pour rechercher la faisabilité de l’infiltration de la pluie de référence 30 ans.</t>
    </r>
  </si>
  <si>
    <r>
      <rPr>
        <i/>
        <u/>
        <sz val="10"/>
        <rFont val="Calibri"/>
        <family val="2"/>
        <scheme val="minor"/>
      </rPr>
      <t>Remarques :</t>
    </r>
    <r>
      <rPr>
        <i/>
        <sz val="10"/>
        <rFont val="Calibri"/>
        <family val="2"/>
        <scheme val="minor"/>
      </rPr>
      <t xml:space="preserve">
Le dimensionnement du dispositif est une </t>
    </r>
    <r>
      <rPr>
        <b/>
        <i/>
        <sz val="10"/>
        <rFont val="Calibri"/>
        <family val="2"/>
        <scheme val="minor"/>
      </rPr>
      <t>démarche itérative</t>
    </r>
    <r>
      <rPr>
        <i/>
        <sz val="10"/>
        <rFont val="Calibri"/>
        <family val="2"/>
        <scheme val="minor"/>
      </rPr>
      <t>. Il est nécessaire de faire de premières hypothèses sur la surface d'infiltration, puis de l'ajuster progressivement en fonction des résultats obtenus, pour aboutir à un dispositif présentant à la fois un volume de rétention suffisant, une durée de vidange et  une hauteur de stockage convenables.</t>
    </r>
  </si>
  <si>
    <r>
      <rPr>
        <i/>
        <u/>
        <sz val="10"/>
        <rFont val="Calibri"/>
        <family val="2"/>
        <scheme val="minor"/>
      </rPr>
      <t>Remarques :</t>
    </r>
    <r>
      <rPr>
        <i/>
        <sz val="10"/>
        <rFont val="Calibri"/>
        <family val="2"/>
        <scheme val="minor"/>
      </rPr>
      <t xml:space="preserve">
</t>
    </r>
    <r>
      <rPr>
        <i/>
        <sz val="10"/>
        <rFont val="Calibri"/>
        <family val="2"/>
        <scheme val="minor"/>
      </rPr>
      <t xml:space="preserve">Le dimensionnement du dispositif est une </t>
    </r>
    <r>
      <rPr>
        <b/>
        <i/>
        <sz val="10"/>
        <rFont val="Calibri"/>
        <family val="2"/>
        <scheme val="minor"/>
      </rPr>
      <t>démarche itérative</t>
    </r>
    <r>
      <rPr>
        <i/>
        <sz val="10"/>
        <rFont val="Calibri"/>
        <family val="2"/>
        <scheme val="minor"/>
      </rPr>
      <t>. Il est nécessaire de faire de premières hypothèses sur la surface d'infiltration, puis de l'ajuster progressivement en fonction des résultats obtenus, pour aboutir à un dispositif présentant à la fois un volume de rétention suffisant, une durée de vidange et  une hauteur de stockage convenables.</t>
    </r>
  </si>
  <si>
    <t>Surfaces mobilisées en tant que dispositif de gestion</t>
  </si>
  <si>
    <r>
      <t xml:space="preserve">Surfaces mobilisées en tant que dispositif de gestion de </t>
    </r>
    <r>
      <rPr>
        <b/>
        <u/>
        <sz val="10"/>
        <color theme="1"/>
        <rFont val="Calibri"/>
        <family val="2"/>
        <scheme val="minor"/>
      </rPr>
      <t>faible</t>
    </r>
    <r>
      <rPr>
        <b/>
        <sz val="10"/>
        <color theme="1"/>
        <rFont val="Calibri"/>
        <family val="2"/>
        <scheme val="minor"/>
      </rPr>
      <t xml:space="preserve"> profondeur</t>
    </r>
  </si>
  <si>
    <r>
      <t xml:space="preserve">Surfaces mobilisées en tant que dispositif de gestion de </t>
    </r>
    <r>
      <rPr>
        <b/>
        <u/>
        <sz val="10"/>
        <color theme="1"/>
        <rFont val="Calibri"/>
        <family val="2"/>
        <scheme val="minor"/>
      </rPr>
      <t>forte</t>
    </r>
    <r>
      <rPr>
        <b/>
        <sz val="10"/>
        <color theme="1"/>
        <rFont val="Calibri"/>
        <family val="2"/>
        <scheme val="minor"/>
      </rPr>
      <t xml:space="preserve"> profondeur</t>
    </r>
  </si>
  <si>
    <r>
      <rPr>
        <i/>
        <u/>
        <sz val="10"/>
        <color theme="1"/>
        <rFont val="Calibri"/>
        <family val="2"/>
        <scheme val="minor"/>
      </rPr>
      <t>Remarque</t>
    </r>
    <r>
      <rPr>
        <i/>
        <sz val="10"/>
        <color theme="1"/>
        <rFont val="Calibri"/>
        <family val="2"/>
        <scheme val="minor"/>
      </rPr>
      <t xml:space="preserve"> : Les capacités d'infiltration doivent être mesurées sur le site, à l'aide de tests adaptés.
Au vu des localisations et profondeurs différentes des 2 dispositifs de gestion, le tableau ci-dessous permet de distinguer au besoin les capacités d'infiltration pour ces 2 dispositifs.</t>
    </r>
  </si>
  <si>
    <t>Valeur de référence pour le dispositif de gestion</t>
  </si>
  <si>
    <t>à faible profondeur</t>
  </si>
  <si>
    <t>à forte profondeur</t>
  </si>
  <si>
    <t>GESTION DES PLUIES EXCEPTIONNELLES (100 ans) :</t>
  </si>
  <si>
    <t>Surface active
(en m²)</t>
  </si>
  <si>
    <r>
      <rPr>
        <i/>
        <u/>
        <sz val="10"/>
        <color theme="1"/>
        <rFont val="Calibri"/>
        <family val="2"/>
        <scheme val="minor"/>
      </rPr>
      <t>Remarque</t>
    </r>
    <r>
      <rPr>
        <i/>
        <sz val="10"/>
        <color theme="1"/>
        <rFont val="Calibri"/>
        <family val="2"/>
        <scheme val="minor"/>
      </rPr>
      <t xml:space="preserve"> : Les capacités d'infiltration doivent être mesurées sur le site, à l'aide de tests adaptés. </t>
    </r>
  </si>
  <si>
    <r>
      <t xml:space="preserve">* </t>
    </r>
    <r>
      <rPr>
        <b/>
        <sz val="10"/>
        <rFont val="Calibri"/>
        <family val="2"/>
        <scheme val="minor"/>
      </rPr>
      <t>Etape 2 : Onglet section A</t>
    </r>
    <r>
      <rPr>
        <sz val="10"/>
        <rFont val="Calibri"/>
        <family val="2"/>
        <scheme val="minor"/>
      </rPr>
      <t xml:space="preserve"> --&gt; Cet onglet permet de définir et valider le fonctionnement du dispositif de gestion.  
- Renseigner les surfaces du projet en distinguant les surfaces mobilisés par les dispositifs d'infiltration
- Renseigner la vitesse d’infiltration de référence issue des tests réalisés sur le site
- Analyser les résultats : volume à stocker, hauteur d'eau, durée de vidange
Au regard de ces résultats le porteur de projet devra s'assurer que la profondeur du dispositif envisagé correspond bien à un dispositif de faible profondeur (&lt; 70 cm)
Si besoin, ajuster l’occupation des sols (en augmentant les surfaces perméables ou en déconnectant des surfaces) et/ou la surface d'infiltration, pour rechercher la faisabilité de l’infiltration de la pluie de référence 30 ans.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</si>
</sst>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E+00"/>
    <numFmt numFmtId="167" formatCode="0.0000"/>
    <numFmt numFmtId="168" formatCode="#,##0.0"/>
    <numFmt numFmtId="169" formatCode="#,##0.000"/>
  </numFmts>
  <fonts count="61" x14ac:knownFonts="1">
    <font>
      <sz val="10"/>
      <name val="Arial"/>
    </font>
    <font>
      <sz val="11"/>
      <color theme="1"/>
      <name val="Calibri"/>
      <family val="2"/>
      <scheme val="minor"/>
    </font>
    <font>
      <b/>
      <sz val="10"/>
      <name val="Arial"/>
      <family val="2"/>
    </font>
    <font>
      <i/>
      <sz val="10"/>
      <name val="Arial"/>
      <family val="2"/>
    </font>
    <font>
      <vertAlign val="superscript"/>
      <sz val="10"/>
      <name val="Arial"/>
      <family val="2"/>
    </font>
    <font>
      <sz val="14"/>
      <color indexed="10"/>
      <name val="Arial"/>
      <family val="2"/>
    </font>
    <font>
      <b/>
      <sz val="14"/>
      <color indexed="10"/>
      <name val="Arial"/>
      <family val="2"/>
    </font>
    <font>
      <b/>
      <vertAlign val="superscript"/>
      <sz val="10"/>
      <name val="Arial"/>
      <family val="2"/>
    </font>
    <font>
      <b/>
      <sz val="14"/>
      <color indexed="12"/>
      <name val="Arial"/>
      <family val="2"/>
    </font>
    <font>
      <sz val="14"/>
      <color indexed="12"/>
      <name val="Arial"/>
      <family val="2"/>
    </font>
    <font>
      <sz val="10"/>
      <color indexed="12"/>
      <name val="Arial"/>
      <family val="2"/>
    </font>
    <font>
      <sz val="10"/>
      <color indexed="8"/>
      <name val="Verdana"/>
      <family val="2"/>
    </font>
    <font>
      <sz val="14"/>
      <color indexed="8"/>
      <name val="Verdana"/>
      <family val="2"/>
    </font>
    <font>
      <b/>
      <sz val="14"/>
      <color indexed="8"/>
      <name val="Verdana"/>
      <family val="2"/>
    </font>
    <font>
      <i/>
      <sz val="14"/>
      <color indexed="8"/>
      <name val="Verdana"/>
      <family val="2"/>
    </font>
    <font>
      <vertAlign val="superscript"/>
      <sz val="14"/>
      <color indexed="8"/>
      <name val="Verdana"/>
      <family val="2"/>
    </font>
    <font>
      <sz val="12"/>
      <name val="Comic Sans MS"/>
      <family val="4"/>
    </font>
    <font>
      <sz val="8"/>
      <name val="Arial"/>
      <family val="2"/>
    </font>
    <font>
      <sz val="10"/>
      <name val="Arial"/>
      <family val="2"/>
    </font>
    <font>
      <sz val="12"/>
      <color indexed="8"/>
      <name val="Verdana"/>
      <family val="2"/>
    </font>
    <font>
      <sz val="16"/>
      <name val="Arial"/>
      <family val="2"/>
    </font>
    <font>
      <sz val="12"/>
      <name val="Arial"/>
      <family val="2"/>
    </font>
    <font>
      <vertAlign val="subscript"/>
      <sz val="12"/>
      <name val="Arial"/>
      <family val="2"/>
    </font>
    <font>
      <vertAlign val="superscript"/>
      <sz val="12"/>
      <name val="Arial"/>
      <family val="2"/>
    </font>
    <font>
      <sz val="10"/>
      <color theme="0"/>
      <name val="Arial"/>
      <family val="2"/>
    </font>
    <font>
      <sz val="10"/>
      <color theme="0" tint="-0.249977111117893"/>
      <name val="Arial"/>
      <family val="2"/>
    </font>
    <font>
      <vertAlign val="superscript"/>
      <sz val="10"/>
      <color theme="0" tint="-0.249977111117893"/>
      <name val="Arial"/>
      <family val="2"/>
    </font>
    <font>
      <u/>
      <sz val="10"/>
      <color theme="0" tint="-0.249977111117893"/>
      <name val="Arial"/>
      <family val="2"/>
    </font>
    <font>
      <b/>
      <sz val="10"/>
      <color rgb="FFFF0000"/>
      <name val="Arial"/>
      <family val="2"/>
    </font>
    <font>
      <sz val="11"/>
      <name val="Calibri"/>
      <family val="2"/>
      <scheme val="minor"/>
    </font>
    <font>
      <sz val="8"/>
      <color theme="1"/>
      <name val="Calibri"/>
      <family val="2"/>
      <scheme val="minor"/>
    </font>
    <font>
      <sz val="8"/>
      <name val="Calibri"/>
      <family val="2"/>
      <scheme val="minor"/>
    </font>
    <font>
      <b/>
      <sz val="14"/>
      <name val="Verdana"/>
      <family val="2"/>
    </font>
    <font>
      <b/>
      <sz val="12"/>
      <color theme="1"/>
      <name val="Calibri"/>
      <family val="2"/>
      <scheme val="minor"/>
    </font>
    <font>
      <sz val="10"/>
      <color theme="1"/>
      <name val="Calibri"/>
      <family val="2"/>
      <scheme val="minor"/>
    </font>
    <font>
      <b/>
      <u/>
      <sz val="10"/>
      <color rgb="FF0070C0"/>
      <name val="Calibri"/>
      <family val="2"/>
      <scheme val="minor"/>
    </font>
    <font>
      <b/>
      <u/>
      <sz val="12"/>
      <color rgb="FF0070C0"/>
      <name val="Calibri"/>
      <family val="2"/>
      <scheme val="minor"/>
    </font>
    <font>
      <i/>
      <sz val="10"/>
      <name val="Calibri"/>
      <family val="2"/>
      <scheme val="minor"/>
    </font>
    <font>
      <b/>
      <i/>
      <sz val="10"/>
      <name val="Calibri"/>
      <family val="2"/>
      <scheme val="minor"/>
    </font>
    <font>
      <b/>
      <sz val="10"/>
      <color theme="1"/>
      <name val="Calibri"/>
      <family val="2"/>
      <scheme val="minor"/>
    </font>
    <font>
      <sz val="9"/>
      <color indexed="81"/>
      <name val="Tahoma"/>
      <family val="2"/>
    </font>
    <font>
      <b/>
      <vertAlign val="subscript"/>
      <sz val="10"/>
      <color theme="1"/>
      <name val="Calibri"/>
      <family val="2"/>
      <scheme val="minor"/>
    </font>
    <font>
      <i/>
      <sz val="10"/>
      <color theme="1"/>
      <name val="Calibri"/>
      <family val="2"/>
      <scheme val="minor"/>
    </font>
    <font>
      <i/>
      <u/>
      <sz val="10"/>
      <color theme="1"/>
      <name val="Calibri"/>
      <family val="2"/>
      <scheme val="minor"/>
    </font>
    <font>
      <b/>
      <i/>
      <sz val="10"/>
      <color theme="1"/>
      <name val="Calibri"/>
      <family val="2"/>
      <scheme val="minor"/>
    </font>
    <font>
      <b/>
      <vertAlign val="superscript"/>
      <sz val="10"/>
      <color theme="1"/>
      <name val="Calibri"/>
      <family val="2"/>
      <scheme val="minor"/>
    </font>
    <font>
      <b/>
      <u/>
      <sz val="10"/>
      <color theme="1"/>
      <name val="Calibri"/>
      <family val="2"/>
      <scheme val="minor"/>
    </font>
    <font>
      <i/>
      <u/>
      <sz val="10"/>
      <name val="Calibri"/>
      <family val="2"/>
      <scheme val="minor"/>
    </font>
    <font>
      <b/>
      <vertAlign val="subscript"/>
      <sz val="12"/>
      <color rgb="FF0070C0"/>
      <name val="Calibri"/>
      <family val="2"/>
      <scheme val="minor"/>
    </font>
    <font>
      <sz val="10"/>
      <color rgb="FFFF0000"/>
      <name val="Arial"/>
      <family val="2"/>
    </font>
    <font>
      <sz val="10"/>
      <name val="Calibri"/>
      <family val="2"/>
      <scheme val="minor"/>
    </font>
    <font>
      <b/>
      <sz val="10"/>
      <name val="Calibri"/>
      <family val="2"/>
      <scheme val="minor"/>
    </font>
    <font>
      <b/>
      <vertAlign val="superscript"/>
      <sz val="10"/>
      <name val="Calibri"/>
      <family val="2"/>
      <scheme val="minor"/>
    </font>
    <font>
      <b/>
      <sz val="11"/>
      <color theme="1"/>
      <name val="Calibri"/>
      <family val="2"/>
      <scheme val="minor"/>
    </font>
    <font>
      <b/>
      <u/>
      <sz val="16"/>
      <color rgb="FF0070C0"/>
      <name val="Calibri"/>
      <family val="2"/>
      <scheme val="minor"/>
    </font>
    <font>
      <b/>
      <u/>
      <sz val="11"/>
      <color rgb="FF0070C0"/>
      <name val="Calibri"/>
      <family val="2"/>
      <scheme val="minor"/>
    </font>
    <font>
      <sz val="10"/>
      <color rgb="FFFF0000"/>
      <name val="Calibri"/>
      <family val="2"/>
      <scheme val="minor"/>
    </font>
    <font>
      <u/>
      <sz val="10"/>
      <color theme="10"/>
      <name val="Arial"/>
      <family val="2"/>
    </font>
    <font>
      <u/>
      <sz val="10"/>
      <color theme="0"/>
      <name val="Arial"/>
      <family val="2"/>
    </font>
    <font>
      <u/>
      <sz val="10"/>
      <color theme="0" tint="-4.9989318521683403E-2"/>
      <name val="Arial"/>
      <family val="2"/>
    </font>
    <font>
      <b/>
      <vertAlign val="subscript"/>
      <sz val="10"/>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7030A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6" tint="-0.249977111117893"/>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double">
        <color theme="8" tint="-0.24994659260841701"/>
      </left>
      <right style="thin">
        <color indexed="64"/>
      </right>
      <top/>
      <bottom style="double">
        <color theme="8" tint="-0.24994659260841701"/>
      </bottom>
      <diagonal/>
    </border>
    <border>
      <left style="thin">
        <color indexed="64"/>
      </left>
      <right style="double">
        <color theme="8" tint="-0.24994659260841701"/>
      </right>
      <top style="double">
        <color theme="8" tint="-0.24994659260841701"/>
      </top>
      <bottom style="thin">
        <color indexed="64"/>
      </bottom>
      <diagonal/>
    </border>
    <border>
      <left style="double">
        <color theme="8" tint="-0.24994659260841701"/>
      </left>
      <right style="thin">
        <color indexed="64"/>
      </right>
      <top/>
      <bottom style="thin">
        <color indexed="64"/>
      </bottom>
      <diagonal/>
    </border>
    <border>
      <left style="double">
        <color theme="8" tint="-0.24994659260841701"/>
      </left>
      <right style="thin">
        <color indexed="64"/>
      </right>
      <top style="double">
        <color theme="8" tint="-0.24994659260841701"/>
      </top>
      <bottom style="thin">
        <color indexed="64"/>
      </bottom>
      <diagonal/>
    </border>
    <border>
      <left style="thin">
        <color indexed="64"/>
      </left>
      <right style="double">
        <color theme="8" tint="-0.24994659260841701"/>
      </right>
      <top/>
      <bottom style="thin">
        <color indexed="64"/>
      </bottom>
      <diagonal/>
    </border>
    <border>
      <left style="thin">
        <color indexed="64"/>
      </left>
      <right style="double">
        <color theme="8" tint="-0.24994659260841701"/>
      </right>
      <top/>
      <bottom style="double">
        <color theme="8" tint="-0.24994659260841701"/>
      </bottom>
      <diagonal/>
    </border>
    <border>
      <left style="double">
        <color theme="8" tint="-0.24994659260841701"/>
      </left>
      <right style="thin">
        <color indexed="64"/>
      </right>
      <top style="double">
        <color theme="8" tint="-0.24994659260841701"/>
      </top>
      <bottom style="double">
        <color indexed="64"/>
      </bottom>
      <diagonal/>
    </border>
    <border>
      <left style="thin">
        <color indexed="64"/>
      </left>
      <right style="double">
        <color theme="8" tint="-0.24994659260841701"/>
      </right>
      <top style="double">
        <color theme="8" tint="-0.24994659260841701"/>
      </top>
      <bottom style="double">
        <color indexed="64"/>
      </bottom>
      <diagonal/>
    </border>
  </borders>
  <cellStyleXfs count="4">
    <xf numFmtId="0" fontId="0" fillId="0" borderId="0"/>
    <xf numFmtId="0" fontId="18" fillId="0" borderId="0"/>
    <xf numFmtId="0" fontId="1" fillId="0" borderId="0"/>
    <xf numFmtId="0" fontId="57" fillId="0" borderId="0" applyNumberFormat="0" applyFill="0" applyBorder="0" applyAlignment="0" applyProtection="0"/>
  </cellStyleXfs>
  <cellXfs count="314">
    <xf numFmtId="0" fontId="0" fillId="0" borderId="0" xfId="0"/>
    <xf numFmtId="0" fontId="0" fillId="2" borderId="0" xfId="0" applyFill="1"/>
    <xf numFmtId="0" fontId="0" fillId="2" borderId="0" xfId="0" applyFill="1" applyBorder="1"/>
    <xf numFmtId="0" fontId="0" fillId="2" borderId="19" xfId="0" applyFill="1" applyBorder="1"/>
    <xf numFmtId="0" fontId="0" fillId="2" borderId="21" xfId="0" applyFill="1" applyBorder="1"/>
    <xf numFmtId="0" fontId="0" fillId="2" borderId="23" xfId="0" applyFill="1" applyBorder="1"/>
    <xf numFmtId="0" fontId="0" fillId="2" borderId="25" xfId="0" applyFill="1" applyBorder="1"/>
    <xf numFmtId="0" fontId="0" fillId="2" borderId="26" xfId="0" applyFill="1" applyBorder="1"/>
    <xf numFmtId="0" fontId="11" fillId="2" borderId="0" xfId="0" applyFont="1" applyFill="1" applyBorder="1"/>
    <xf numFmtId="0" fontId="12" fillId="2" borderId="0" xfId="0" applyFont="1" applyFill="1" applyBorder="1"/>
    <xf numFmtId="0" fontId="14" fillId="2" borderId="0" xfId="0" applyFont="1" applyFill="1" applyBorder="1"/>
    <xf numFmtId="0" fontId="12" fillId="2" borderId="0" xfId="0" applyFont="1" applyFill="1" applyBorder="1" applyAlignment="1">
      <alignment horizontal="left"/>
    </xf>
    <xf numFmtId="0" fontId="16" fillId="2" borderId="0" xfId="0" applyFont="1" applyFill="1" applyAlignment="1">
      <alignment horizontal="left"/>
    </xf>
    <xf numFmtId="0" fontId="10" fillId="2" borderId="0" xfId="0" applyFont="1" applyFill="1" applyBorder="1"/>
    <xf numFmtId="0" fontId="8" fillId="2" borderId="0" xfId="0" applyFont="1" applyFill="1" applyBorder="1" applyAlignment="1">
      <alignment horizontal="right"/>
    </xf>
    <xf numFmtId="0" fontId="9" fillId="2" borderId="0" xfId="0" applyFont="1" applyFill="1" applyBorder="1" applyAlignment="1">
      <alignment horizontal="left"/>
    </xf>
    <xf numFmtId="0" fontId="2" fillId="2" borderId="19" xfId="0" applyFont="1" applyFill="1" applyBorder="1" applyAlignment="1">
      <alignment horizontal="center"/>
    </xf>
    <xf numFmtId="0" fontId="2" fillId="2" borderId="23" xfId="0" applyFont="1" applyFill="1" applyBorder="1" applyAlignment="1">
      <alignment horizontal="center"/>
    </xf>
    <xf numFmtId="2" fontId="0" fillId="2" borderId="29" xfId="0" applyNumberFormat="1" applyFill="1" applyBorder="1"/>
    <xf numFmtId="2" fontId="0" fillId="2" borderId="0" xfId="0" applyNumberFormat="1" applyFill="1" applyBorder="1"/>
    <xf numFmtId="2" fontId="0" fillId="2" borderId="22" xfId="0" applyNumberFormat="1" applyFill="1" applyBorder="1"/>
    <xf numFmtId="165" fontId="0" fillId="2" borderId="29" xfId="0" applyNumberFormat="1" applyFill="1" applyBorder="1"/>
    <xf numFmtId="165" fontId="0" fillId="2" borderId="0" xfId="0" applyNumberFormat="1" applyFill="1" applyBorder="1"/>
    <xf numFmtId="165" fontId="0" fillId="2" borderId="22" xfId="0" applyNumberFormat="1" applyFill="1" applyBorder="1"/>
    <xf numFmtId="2" fontId="0" fillId="2" borderId="30" xfId="0" applyNumberFormat="1" applyFill="1" applyBorder="1"/>
    <xf numFmtId="2" fontId="0" fillId="2" borderId="31" xfId="0" applyNumberFormat="1" applyFill="1" applyBorder="1"/>
    <xf numFmtId="2" fontId="0" fillId="2" borderId="24" xfId="0" applyNumberFormat="1" applyFill="1" applyBorder="1"/>
    <xf numFmtId="165" fontId="0" fillId="2" borderId="30" xfId="0" applyNumberFormat="1" applyFill="1" applyBorder="1"/>
    <xf numFmtId="165" fontId="0" fillId="2" borderId="31" xfId="0" applyNumberFormat="1" applyFill="1" applyBorder="1"/>
    <xf numFmtId="165" fontId="0" fillId="2" borderId="24" xfId="0" applyNumberFormat="1" applyFill="1" applyBorder="1"/>
    <xf numFmtId="0" fontId="6" fillId="2" borderId="0" xfId="0" applyFont="1" applyFill="1" applyBorder="1" applyAlignment="1">
      <alignment horizontal="right"/>
    </xf>
    <xf numFmtId="0" fontId="5" fillId="2" borderId="0" xfId="0" applyFont="1" applyFill="1" applyBorder="1" applyAlignment="1">
      <alignment horizontal="right"/>
    </xf>
    <xf numFmtId="0" fontId="2" fillId="2" borderId="32" xfId="0" applyFont="1" applyFill="1" applyBorder="1" applyAlignment="1">
      <alignment horizontal="center"/>
    </xf>
    <xf numFmtId="0" fontId="2" fillId="2" borderId="30" xfId="0" applyFont="1" applyFill="1" applyBorder="1" applyAlignment="1">
      <alignment horizontal="center"/>
    </xf>
    <xf numFmtId="0" fontId="3" fillId="2" borderId="0" xfId="0" applyFont="1" applyFill="1" applyAlignment="1">
      <alignment horizontal="center"/>
    </xf>
    <xf numFmtId="0" fontId="0" fillId="2" borderId="30" xfId="0" applyFill="1" applyBorder="1"/>
    <xf numFmtId="0" fontId="0" fillId="2" borderId="29" xfId="0" applyFill="1" applyBorder="1" applyAlignment="1">
      <alignment horizontal="center"/>
    </xf>
    <xf numFmtId="165" fontId="0" fillId="2" borderId="21" xfId="0" applyNumberFormat="1" applyFill="1" applyBorder="1"/>
    <xf numFmtId="165" fontId="0" fillId="2" borderId="0" xfId="0" applyNumberFormat="1" applyFill="1"/>
    <xf numFmtId="0" fontId="0" fillId="2" borderId="30" xfId="0" applyFill="1" applyBorder="1" applyAlignment="1">
      <alignment horizontal="center"/>
    </xf>
    <xf numFmtId="165" fontId="0" fillId="2" borderId="23" xfId="0" applyNumberFormat="1" applyFill="1" applyBorder="1"/>
    <xf numFmtId="0" fontId="13" fillId="2" borderId="30" xfId="0" applyFont="1" applyFill="1" applyBorder="1" applyAlignment="1">
      <alignment horizontal="right"/>
    </xf>
    <xf numFmtId="0" fontId="19" fillId="2" borderId="0" xfId="0" applyFont="1" applyFill="1" applyBorder="1" applyAlignment="1">
      <alignment horizontal="left"/>
    </xf>
    <xf numFmtId="0" fontId="0" fillId="2" borderId="0" xfId="0" applyFill="1" applyAlignment="1">
      <alignment horizontal="center"/>
    </xf>
    <xf numFmtId="2" fontId="0" fillId="2" borderId="32" xfId="0" applyNumberFormat="1" applyFill="1" applyBorder="1"/>
    <xf numFmtId="2" fontId="0" fillId="2" borderId="27" xfId="0" applyNumberFormat="1" applyFill="1" applyBorder="1"/>
    <xf numFmtId="0" fontId="21" fillId="0" borderId="0" xfId="0" applyFont="1" applyAlignment="1"/>
    <xf numFmtId="0" fontId="21" fillId="0" borderId="0" xfId="0" applyFont="1" applyAlignment="1">
      <alignment vertical="center"/>
    </xf>
    <xf numFmtId="0" fontId="0" fillId="0" borderId="0" xfId="0" applyAlignment="1"/>
    <xf numFmtId="0" fontId="18" fillId="0" borderId="33" xfId="0" applyFont="1" applyBorder="1" applyAlignment="1">
      <alignment horizontal="center"/>
    </xf>
    <xf numFmtId="0" fontId="0" fillId="0" borderId="33" xfId="0" applyBorder="1" applyAlignment="1">
      <alignment horizontal="center"/>
    </xf>
    <xf numFmtId="0" fontId="18" fillId="0" borderId="0" xfId="0" applyFont="1" applyBorder="1" applyAlignment="1">
      <alignment horizontal="left"/>
    </xf>
    <xf numFmtId="0" fontId="0" fillId="0" borderId="0" xfId="0" applyBorder="1" applyAlignment="1">
      <alignment horizontal="left"/>
    </xf>
    <xf numFmtId="0" fontId="21" fillId="0" borderId="2" xfId="0" applyFont="1" applyBorder="1" applyAlignment="1">
      <alignment horizontal="center"/>
    </xf>
    <xf numFmtId="0" fontId="21" fillId="0" borderId="34" xfId="0" applyFont="1" applyBorder="1" applyAlignment="1">
      <alignment horizontal="center"/>
    </xf>
    <xf numFmtId="0" fontId="21" fillId="0" borderId="35" xfId="0" applyFont="1" applyBorder="1" applyAlignment="1">
      <alignment horizontal="center"/>
    </xf>
    <xf numFmtId="0" fontId="21" fillId="0" borderId="0" xfId="0" applyFont="1"/>
    <xf numFmtId="0" fontId="18" fillId="3" borderId="36" xfId="0" applyFont="1" applyFill="1" applyBorder="1"/>
    <xf numFmtId="0" fontId="18" fillId="0" borderId="12" xfId="0" applyFont="1" applyBorder="1" applyAlignment="1">
      <alignment horizontal="center"/>
    </xf>
    <xf numFmtId="0" fontId="18" fillId="0" borderId="14" xfId="0" applyFont="1" applyBorder="1" applyAlignment="1">
      <alignment horizontal="center"/>
    </xf>
    <xf numFmtId="164" fontId="18" fillId="3" borderId="12" xfId="0" applyNumberFormat="1" applyFont="1" applyFill="1" applyBorder="1" applyAlignment="1">
      <alignment horizontal="center"/>
    </xf>
    <xf numFmtId="0" fontId="18" fillId="3" borderId="14" xfId="0" applyFont="1" applyFill="1" applyBorder="1" applyAlignment="1">
      <alignment horizontal="center"/>
    </xf>
    <xf numFmtId="0" fontId="18" fillId="3" borderId="37" xfId="0" applyFont="1" applyFill="1" applyBorder="1"/>
    <xf numFmtId="0" fontId="18" fillId="0" borderId="10" xfId="0" applyFont="1" applyBorder="1" applyAlignment="1">
      <alignment horizontal="center"/>
    </xf>
    <xf numFmtId="0" fontId="18" fillId="0" borderId="11" xfId="0" applyFont="1" applyBorder="1" applyAlignment="1">
      <alignment horizontal="center"/>
    </xf>
    <xf numFmtId="164" fontId="18" fillId="3" borderId="10" xfId="0" applyNumberFormat="1" applyFont="1" applyFill="1" applyBorder="1" applyAlignment="1">
      <alignment horizontal="center"/>
    </xf>
    <xf numFmtId="0" fontId="18" fillId="3" borderId="11" xfId="0" applyFont="1" applyFill="1" applyBorder="1" applyAlignment="1">
      <alignment horizontal="center"/>
    </xf>
    <xf numFmtId="0" fontId="18" fillId="4" borderId="37" xfId="0" applyFont="1" applyFill="1" applyBorder="1"/>
    <xf numFmtId="0" fontId="18" fillId="5" borderId="37" xfId="0" applyFont="1" applyFill="1" applyBorder="1"/>
    <xf numFmtId="164" fontId="18" fillId="5" borderId="10" xfId="0" applyNumberFormat="1" applyFont="1" applyFill="1" applyBorder="1" applyAlignment="1">
      <alignment horizontal="center"/>
    </xf>
    <xf numFmtId="0" fontId="18" fillId="5" borderId="11" xfId="0" applyFont="1" applyFill="1" applyBorder="1" applyAlignment="1">
      <alignment horizontal="center"/>
    </xf>
    <xf numFmtId="0" fontId="18" fillId="5" borderId="38" xfId="0" applyFont="1" applyFill="1" applyBorder="1"/>
    <xf numFmtId="0" fontId="18" fillId="0" borderId="6" xfId="0" applyFont="1" applyBorder="1" applyAlignment="1">
      <alignment horizontal="center"/>
    </xf>
    <xf numFmtId="0" fontId="18" fillId="0" borderId="7" xfId="0" applyFont="1" applyBorder="1" applyAlignment="1">
      <alignment horizontal="center"/>
    </xf>
    <xf numFmtId="164" fontId="18" fillId="5" borderId="6" xfId="0" applyNumberFormat="1" applyFont="1" applyFill="1" applyBorder="1" applyAlignment="1">
      <alignment horizontal="center"/>
    </xf>
    <xf numFmtId="0" fontId="18" fillId="5" borderId="7" xfId="0" applyFont="1" applyFill="1" applyBorder="1" applyAlignment="1">
      <alignment horizontal="center"/>
    </xf>
    <xf numFmtId="0" fontId="0" fillId="0" borderId="0" xfId="0" applyAlignment="1">
      <alignment wrapText="1"/>
    </xf>
    <xf numFmtId="0" fontId="21" fillId="7" borderId="2" xfId="0" applyFont="1" applyFill="1" applyBorder="1" applyAlignment="1">
      <alignment horizontal="center" wrapText="1"/>
    </xf>
    <xf numFmtId="0" fontId="18" fillId="3" borderId="41" xfId="0" applyFont="1" applyFill="1" applyBorder="1" applyAlignment="1">
      <alignment horizontal="center"/>
    </xf>
    <xf numFmtId="0" fontId="18" fillId="3" borderId="32" xfId="0" applyFont="1" applyFill="1" applyBorder="1" applyAlignment="1">
      <alignment horizontal="center"/>
    </xf>
    <xf numFmtId="0" fontId="18" fillId="4" borderId="32" xfId="0" applyFont="1" applyFill="1" applyBorder="1" applyAlignment="1">
      <alignment horizontal="center"/>
    </xf>
    <xf numFmtId="0" fontId="18" fillId="5" borderId="32" xfId="0" applyFont="1" applyFill="1" applyBorder="1" applyAlignment="1">
      <alignment horizontal="center"/>
    </xf>
    <xf numFmtId="0" fontId="18" fillId="5" borderId="42" xfId="0" applyFont="1" applyFill="1" applyBorder="1" applyAlignment="1">
      <alignment horizontal="center"/>
    </xf>
    <xf numFmtId="20" fontId="24" fillId="0" borderId="0" xfId="0" applyNumberFormat="1" applyFont="1"/>
    <xf numFmtId="0" fontId="21" fillId="7" borderId="36" xfId="0" applyFont="1" applyFill="1" applyBorder="1" applyAlignment="1">
      <alignment horizontal="center"/>
    </xf>
    <xf numFmtId="165" fontId="17" fillId="0" borderId="12" xfId="0" applyNumberFormat="1" applyFont="1" applyBorder="1" applyAlignment="1">
      <alignment horizontal="center"/>
    </xf>
    <xf numFmtId="165" fontId="17" fillId="0" borderId="13" xfId="0" applyNumberFormat="1" applyFont="1" applyBorder="1" applyAlignment="1">
      <alignment horizontal="center"/>
    </xf>
    <xf numFmtId="165" fontId="17" fillId="0" borderId="14" xfId="0" applyNumberFormat="1" applyFont="1" applyBorder="1" applyAlignment="1">
      <alignment horizontal="center"/>
    </xf>
    <xf numFmtId="0" fontId="21" fillId="7" borderId="37" xfId="0" applyFont="1" applyFill="1" applyBorder="1" applyAlignment="1">
      <alignment horizontal="center"/>
    </xf>
    <xf numFmtId="165" fontId="17" fillId="0" borderId="10" xfId="0" applyNumberFormat="1" applyFont="1" applyBorder="1" applyAlignment="1">
      <alignment horizontal="center"/>
    </xf>
    <xf numFmtId="165" fontId="17" fillId="0" borderId="16" xfId="0" applyNumberFormat="1" applyFont="1" applyBorder="1" applyAlignment="1">
      <alignment horizontal="center"/>
    </xf>
    <xf numFmtId="165" fontId="17" fillId="0" borderId="11" xfId="0" applyNumberFormat="1" applyFont="1" applyBorder="1" applyAlignment="1">
      <alignment horizontal="center"/>
    </xf>
    <xf numFmtId="0" fontId="21" fillId="7" borderId="38" xfId="0" applyFont="1" applyFill="1" applyBorder="1" applyAlignment="1">
      <alignment horizontal="center"/>
    </xf>
    <xf numFmtId="165" fontId="17" fillId="0" borderId="6" xfId="0" applyNumberFormat="1" applyFont="1" applyBorder="1" applyAlignment="1">
      <alignment horizontal="center"/>
    </xf>
    <xf numFmtId="165" fontId="17" fillId="0" borderId="8" xfId="0" applyNumberFormat="1" applyFont="1" applyBorder="1" applyAlignment="1">
      <alignment horizontal="center"/>
    </xf>
    <xf numFmtId="165" fontId="17" fillId="0" borderId="7" xfId="0" applyNumberFormat="1" applyFont="1" applyBorder="1" applyAlignment="1">
      <alignment horizontal="center"/>
    </xf>
    <xf numFmtId="0" fontId="25" fillId="0" borderId="1" xfId="0" applyFont="1" applyBorder="1" applyAlignment="1">
      <alignment horizontal="center"/>
    </xf>
    <xf numFmtId="0" fontId="25" fillId="0" borderId="2" xfId="0" applyFont="1" applyBorder="1" applyAlignment="1">
      <alignment horizontal="right"/>
    </xf>
    <xf numFmtId="0" fontId="25" fillId="0" borderId="3" xfId="0" applyFont="1" applyBorder="1"/>
    <xf numFmtId="0" fontId="25" fillId="0" borderId="4" xfId="0" applyFont="1" applyBorder="1"/>
    <xf numFmtId="0" fontId="25" fillId="0" borderId="0" xfId="0" applyFont="1"/>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0" xfId="0" applyFont="1" applyBorder="1"/>
    <xf numFmtId="0" fontId="25" fillId="0" borderId="8" xfId="0" applyFont="1" applyBorder="1" applyAlignment="1">
      <alignment horizontal="center"/>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164" fontId="25" fillId="0" borderId="12" xfId="0" applyNumberFormat="1" applyFont="1" applyBorder="1" applyAlignment="1">
      <alignment horizontal="center"/>
    </xf>
    <xf numFmtId="0" fontId="25" fillId="0" borderId="13" xfId="0" applyFont="1" applyBorder="1" applyAlignment="1">
      <alignment horizontal="center"/>
    </xf>
    <xf numFmtId="2" fontId="25" fillId="0" borderId="13" xfId="0" applyNumberFormat="1" applyFont="1" applyBorder="1" applyAlignment="1">
      <alignment horizontal="center"/>
    </xf>
    <xf numFmtId="0" fontId="25" fillId="0" borderId="14" xfId="0" applyFont="1" applyBorder="1" applyAlignment="1">
      <alignment horizontal="center"/>
    </xf>
    <xf numFmtId="0" fontId="25" fillId="0" borderId="15" xfId="0" applyFont="1" applyBorder="1" applyAlignment="1">
      <alignment horizontal="center"/>
    </xf>
    <xf numFmtId="165" fontId="25" fillId="0" borderId="10" xfId="0" applyNumberFormat="1" applyFont="1" applyBorder="1" applyAlignment="1">
      <alignment horizontal="center"/>
    </xf>
    <xf numFmtId="2" fontId="25" fillId="0" borderId="16" xfId="0" applyNumberFormat="1" applyFont="1" applyBorder="1" applyAlignment="1">
      <alignment horizontal="center"/>
    </xf>
    <xf numFmtId="0" fontId="25" fillId="0" borderId="16" xfId="0" applyFont="1" applyBorder="1" applyAlignment="1">
      <alignment horizontal="center"/>
    </xf>
    <xf numFmtId="0" fontId="25" fillId="0" borderId="17" xfId="0" applyFont="1" applyBorder="1" applyAlignment="1">
      <alignment horizontal="center"/>
    </xf>
    <xf numFmtId="0" fontId="27" fillId="0" borderId="18" xfId="0" applyFont="1" applyFill="1" applyBorder="1" applyAlignment="1">
      <alignment horizontal="left"/>
    </xf>
    <xf numFmtId="0" fontId="25" fillId="0" borderId="12" xfId="0" applyFont="1" applyBorder="1" applyAlignment="1">
      <alignment horizontal="center"/>
    </xf>
    <xf numFmtId="164" fontId="25" fillId="0" borderId="10" xfId="0" applyNumberFormat="1" applyFont="1" applyBorder="1" applyAlignment="1">
      <alignment horizontal="center"/>
    </xf>
    <xf numFmtId="0" fontId="25" fillId="0" borderId="18" xfId="0" applyFont="1" applyFill="1" applyBorder="1" applyAlignment="1">
      <alignment horizontal="left"/>
    </xf>
    <xf numFmtId="164" fontId="28" fillId="4" borderId="10" xfId="0" applyNumberFormat="1" applyFont="1" applyFill="1" applyBorder="1" applyAlignment="1">
      <alignment horizontal="center"/>
    </xf>
    <xf numFmtId="0" fontId="28" fillId="4" borderId="11" xfId="0" applyFont="1"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xf>
    <xf numFmtId="0" fontId="2" fillId="2" borderId="28" xfId="0" applyFont="1" applyFill="1" applyBorder="1"/>
    <xf numFmtId="0" fontId="0" fillId="2" borderId="28" xfId="0" applyFill="1" applyBorder="1"/>
    <xf numFmtId="0" fontId="2" fillId="2" borderId="25" xfId="0" applyFont="1" applyFill="1" applyBorder="1" applyAlignment="1">
      <alignment horizontal="left"/>
    </xf>
    <xf numFmtId="0" fontId="2" fillId="2" borderId="25" xfId="0" applyFont="1" applyFill="1" applyBorder="1"/>
    <xf numFmtId="2" fontId="0" fillId="2" borderId="20" xfId="0" applyNumberFormat="1" applyFill="1" applyBorder="1"/>
    <xf numFmtId="165" fontId="0" fillId="2" borderId="32" xfId="0" applyNumberFormat="1" applyFill="1" applyBorder="1"/>
    <xf numFmtId="0" fontId="0" fillId="0" borderId="16" xfId="0" applyFill="1"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applyAlignment="1">
      <alignment horizontal="left" vertical="center" wrapText="1"/>
    </xf>
    <xf numFmtId="0" fontId="18" fillId="0" borderId="16" xfId="0" applyFont="1" applyBorder="1" applyAlignment="1">
      <alignment horizontal="left" vertical="center" wrapText="1"/>
    </xf>
    <xf numFmtId="0" fontId="18" fillId="2" borderId="0" xfId="0" applyFont="1" applyFill="1"/>
    <xf numFmtId="0" fontId="2" fillId="2" borderId="16" xfId="0" applyFont="1" applyFill="1" applyBorder="1"/>
    <xf numFmtId="0" fontId="0" fillId="0" borderId="16" xfId="0" applyBorder="1"/>
    <xf numFmtId="0" fontId="0" fillId="8" borderId="16" xfId="0" applyFill="1" applyBorder="1"/>
    <xf numFmtId="0" fontId="18" fillId="0" borderId="16" xfId="0" applyFont="1" applyBorder="1" applyAlignment="1">
      <alignment horizontal="center" vertical="center"/>
    </xf>
    <xf numFmtId="0" fontId="32" fillId="14" borderId="29" xfId="0" applyFont="1" applyFill="1" applyBorder="1" applyAlignment="1" applyProtection="1">
      <alignment horizontal="right"/>
      <protection locked="0"/>
    </xf>
    <xf numFmtId="0" fontId="2" fillId="0" borderId="16" xfId="0" applyFont="1" applyFill="1" applyBorder="1"/>
    <xf numFmtId="0" fontId="0" fillId="7" borderId="16" xfId="0" applyFill="1" applyBorder="1" applyAlignment="1" applyProtection="1">
      <alignment vertical="center"/>
      <protection locked="0"/>
    </xf>
    <xf numFmtId="0" fontId="2" fillId="2" borderId="29" xfId="0" applyFont="1" applyFill="1" applyBorder="1" applyAlignment="1">
      <alignment horizontal="center"/>
    </xf>
    <xf numFmtId="0" fontId="18" fillId="2" borderId="30" xfId="0" applyFont="1" applyFill="1" applyBorder="1" applyAlignment="1">
      <alignment horizontal="center"/>
    </xf>
    <xf numFmtId="0" fontId="18" fillId="2" borderId="31" xfId="0" applyFont="1" applyFill="1" applyBorder="1" applyAlignment="1">
      <alignment horizontal="center"/>
    </xf>
    <xf numFmtId="0" fontId="2" fillId="2" borderId="16" xfId="0" applyFont="1" applyFill="1" applyBorder="1" applyAlignment="1">
      <alignment horizontal="center"/>
    </xf>
    <xf numFmtId="0" fontId="29" fillId="9" borderId="16" xfId="1" applyFont="1" applyFill="1" applyBorder="1" applyAlignment="1" applyProtection="1">
      <alignment horizontal="center" wrapText="1"/>
    </xf>
    <xf numFmtId="0" fontId="1" fillId="10" borderId="16" xfId="2" applyFont="1" applyFill="1" applyBorder="1" applyAlignment="1" applyProtection="1">
      <alignment horizontal="center" wrapText="1"/>
    </xf>
    <xf numFmtId="0" fontId="29" fillId="11" borderId="16" xfId="1" applyFont="1" applyFill="1" applyBorder="1" applyAlignment="1" applyProtection="1">
      <alignment horizontal="center" wrapText="1"/>
    </xf>
    <xf numFmtId="0" fontId="1" fillId="11" borderId="16" xfId="2" applyFont="1" applyFill="1" applyBorder="1" applyAlignment="1" applyProtection="1">
      <alignment horizontal="center" wrapText="1"/>
    </xf>
    <xf numFmtId="0" fontId="29" fillId="7" borderId="16" xfId="1" applyFont="1" applyFill="1" applyBorder="1" applyAlignment="1" applyProtection="1">
      <alignment horizontal="center" wrapText="1"/>
    </xf>
    <xf numFmtId="0" fontId="1" fillId="7" borderId="16" xfId="2" applyFont="1" applyFill="1" applyBorder="1" applyAlignment="1" applyProtection="1">
      <alignment horizontal="center" wrapText="1"/>
    </xf>
    <xf numFmtId="0" fontId="29" fillId="12" borderId="16" xfId="1" applyFont="1" applyFill="1" applyBorder="1" applyAlignment="1" applyProtection="1">
      <alignment horizontal="center" wrapText="1"/>
    </xf>
    <xf numFmtId="0" fontId="1" fillId="12" borderId="16" xfId="2" applyFont="1" applyFill="1" applyBorder="1" applyAlignment="1" applyProtection="1">
      <alignment horizontal="center" wrapText="1"/>
    </xf>
    <xf numFmtId="0" fontId="1" fillId="0" borderId="0" xfId="2" applyProtection="1"/>
    <xf numFmtId="0" fontId="30" fillId="13" borderId="30" xfId="2" applyNumberFormat="1" applyFont="1" applyFill="1" applyBorder="1" applyAlignment="1" applyProtection="1">
      <alignment horizontal="center"/>
    </xf>
    <xf numFmtId="165" fontId="30" fillId="13" borderId="30" xfId="2" applyNumberFormat="1" applyFont="1" applyFill="1" applyBorder="1" applyAlignment="1" applyProtection="1">
      <alignment horizontal="center"/>
    </xf>
    <xf numFmtId="0" fontId="30" fillId="13" borderId="16" xfId="2" applyFont="1" applyFill="1" applyBorder="1" applyProtection="1"/>
    <xf numFmtId="165" fontId="31" fillId="13" borderId="30" xfId="1" applyNumberFormat="1" applyFont="1" applyFill="1" applyBorder="1" applyAlignment="1" applyProtection="1">
      <alignment horizontal="center"/>
    </xf>
    <xf numFmtId="165" fontId="30" fillId="13" borderId="16" xfId="2" applyNumberFormat="1" applyFont="1" applyFill="1" applyBorder="1" applyProtection="1"/>
    <xf numFmtId="165" fontId="30" fillId="13" borderId="16" xfId="2" applyNumberFormat="1" applyFont="1" applyFill="1" applyBorder="1" applyAlignment="1" applyProtection="1">
      <alignment horizontal="center"/>
    </xf>
    <xf numFmtId="0" fontId="30" fillId="13" borderId="16" xfId="2" applyNumberFormat="1" applyFont="1" applyFill="1" applyBorder="1" applyAlignment="1" applyProtection="1">
      <alignment horizontal="center"/>
    </xf>
    <xf numFmtId="165" fontId="31" fillId="13" borderId="16" xfId="1" applyNumberFormat="1" applyFont="1" applyFill="1" applyBorder="1" applyAlignment="1" applyProtection="1">
      <alignment horizontal="center"/>
    </xf>
    <xf numFmtId="0" fontId="1" fillId="0" borderId="0" xfId="2" applyFont="1" applyProtection="1"/>
    <xf numFmtId="0" fontId="1" fillId="0" borderId="2" xfId="2" applyFont="1" applyBorder="1" applyProtection="1"/>
    <xf numFmtId="0" fontId="29" fillId="0" borderId="3" xfId="2" applyFont="1" applyBorder="1" applyProtection="1"/>
    <xf numFmtId="0" fontId="1" fillId="0" borderId="45" xfId="2" applyFont="1" applyBorder="1" applyProtection="1"/>
    <xf numFmtId="0" fontId="29" fillId="8" borderId="33" xfId="2" applyFont="1" applyFill="1" applyBorder="1" applyAlignment="1" applyProtection="1">
      <alignment horizontal="center"/>
    </xf>
    <xf numFmtId="0" fontId="29" fillId="0" borderId="46" xfId="2" applyFont="1" applyBorder="1" applyProtection="1"/>
    <xf numFmtId="0" fontId="1" fillId="0" borderId="43" xfId="2" applyFont="1" applyBorder="1" applyProtection="1"/>
    <xf numFmtId="165" fontId="1" fillId="7" borderId="0" xfId="2" applyNumberFormat="1" applyFont="1" applyFill="1" applyBorder="1" applyAlignment="1" applyProtection="1">
      <alignment horizontal="center"/>
    </xf>
    <xf numFmtId="0" fontId="1" fillId="0" borderId="44" xfId="2" applyFont="1" applyBorder="1" applyProtection="1"/>
    <xf numFmtId="0" fontId="1" fillId="0" borderId="47" xfId="2" applyFont="1" applyBorder="1" applyProtection="1"/>
    <xf numFmtId="165" fontId="1" fillId="7" borderId="31" xfId="2" applyNumberFormat="1" applyFont="1" applyFill="1" applyBorder="1" applyAlignment="1" applyProtection="1">
      <alignment horizontal="center"/>
    </xf>
    <xf numFmtId="0" fontId="1" fillId="0" borderId="48" xfId="2" applyFont="1" applyBorder="1" applyProtection="1"/>
    <xf numFmtId="165" fontId="1" fillId="11" borderId="0" xfId="2" applyNumberFormat="1" applyFont="1" applyFill="1" applyBorder="1" applyAlignment="1" applyProtection="1">
      <alignment horizontal="center"/>
    </xf>
    <xf numFmtId="165" fontId="1" fillId="11" borderId="31" xfId="2" applyNumberFormat="1" applyFont="1" applyFill="1" applyBorder="1" applyAlignment="1" applyProtection="1">
      <alignment horizontal="center"/>
    </xf>
    <xf numFmtId="165" fontId="1" fillId="12" borderId="0" xfId="2" applyNumberFormat="1" applyFont="1" applyFill="1" applyBorder="1" applyAlignment="1" applyProtection="1">
      <alignment horizontal="center"/>
    </xf>
    <xf numFmtId="165" fontId="1" fillId="12" borderId="33" xfId="2" applyNumberFormat="1" applyFont="1" applyFill="1" applyBorder="1" applyAlignment="1" applyProtection="1">
      <alignment horizontal="center"/>
    </xf>
    <xf numFmtId="0" fontId="1" fillId="0" borderId="46" xfId="2" applyFont="1" applyBorder="1" applyProtection="1"/>
    <xf numFmtId="0" fontId="1" fillId="0" borderId="0" xfId="2" applyFont="1" applyFill="1" applyBorder="1" applyProtection="1"/>
    <xf numFmtId="165" fontId="1" fillId="0" borderId="0" xfId="2" applyNumberFormat="1" applyProtection="1"/>
    <xf numFmtId="2" fontId="1" fillId="0" borderId="0" xfId="2" applyNumberFormat="1" applyProtection="1"/>
    <xf numFmtId="1" fontId="2" fillId="2" borderId="0" xfId="0" applyNumberFormat="1" applyFont="1" applyFill="1"/>
    <xf numFmtId="165" fontId="2" fillId="2" borderId="0" xfId="0" applyNumberFormat="1" applyFont="1" applyFill="1"/>
    <xf numFmtId="0" fontId="28" fillId="2" borderId="0" xfId="0" applyFont="1" applyFill="1"/>
    <xf numFmtId="0" fontId="18" fillId="0" borderId="0" xfId="0" applyFont="1"/>
    <xf numFmtId="1" fontId="33" fillId="11" borderId="0" xfId="2" applyNumberFormat="1" applyFont="1" applyFill="1" applyBorder="1" applyAlignment="1" applyProtection="1">
      <alignment horizontal="center"/>
    </xf>
    <xf numFmtId="1" fontId="33" fillId="12" borderId="0" xfId="2" applyNumberFormat="1" applyFont="1" applyFill="1" applyBorder="1" applyAlignment="1" applyProtection="1">
      <alignment horizontal="center"/>
    </xf>
    <xf numFmtId="1" fontId="33" fillId="7" borderId="0" xfId="2" applyNumberFormat="1" applyFont="1" applyFill="1" applyBorder="1" applyAlignment="1" applyProtection="1">
      <alignment horizontal="center"/>
    </xf>
    <xf numFmtId="2" fontId="0" fillId="0" borderId="0" xfId="0" applyNumberFormat="1"/>
    <xf numFmtId="165" fontId="0" fillId="0" borderId="0" xfId="0" applyNumberFormat="1"/>
    <xf numFmtId="0" fontId="0" fillId="7" borderId="0" xfId="0" applyFill="1"/>
    <xf numFmtId="166" fontId="0" fillId="7" borderId="0" xfId="0" applyNumberFormat="1" applyFill="1"/>
    <xf numFmtId="167" fontId="0" fillId="0" borderId="0" xfId="0" applyNumberFormat="1"/>
    <xf numFmtId="164" fontId="0" fillId="0" borderId="0" xfId="0" applyNumberFormat="1"/>
    <xf numFmtId="0" fontId="34" fillId="0" borderId="2" xfId="0" applyFont="1" applyBorder="1" applyAlignment="1" applyProtection="1">
      <alignment vertical="center"/>
    </xf>
    <xf numFmtId="0" fontId="35" fillId="0" borderId="4" xfId="0" applyFont="1" applyBorder="1" applyAlignment="1" applyProtection="1">
      <alignment vertical="center"/>
    </xf>
    <xf numFmtId="0" fontId="34" fillId="0" borderId="4" xfId="0" applyFont="1" applyBorder="1" applyAlignment="1" applyProtection="1">
      <alignment vertical="center"/>
    </xf>
    <xf numFmtId="0" fontId="34" fillId="0" borderId="3" xfId="0" applyFont="1" applyBorder="1" applyAlignment="1" applyProtection="1">
      <alignment vertical="center"/>
    </xf>
    <xf numFmtId="0" fontId="34" fillId="0" borderId="43" xfId="0" applyFont="1" applyBorder="1" applyAlignment="1" applyProtection="1">
      <alignment vertical="center"/>
    </xf>
    <xf numFmtId="0" fontId="36" fillId="0" borderId="0" xfId="0" applyFont="1" applyAlignment="1" applyProtection="1">
      <alignment vertical="center"/>
    </xf>
    <xf numFmtId="0" fontId="34" fillId="0" borderId="0" xfId="0" applyFont="1" applyAlignment="1" applyProtection="1">
      <alignment vertical="center"/>
    </xf>
    <xf numFmtId="0" fontId="34" fillId="0" borderId="44" xfId="0" applyFont="1" applyBorder="1" applyAlignment="1" applyProtection="1">
      <alignment vertical="center"/>
    </xf>
    <xf numFmtId="0" fontId="37" fillId="0" borderId="0" xfId="0" applyFont="1" applyAlignment="1" applyProtection="1">
      <alignment horizontal="left" vertical="center"/>
    </xf>
    <xf numFmtId="0" fontId="39" fillId="0" borderId="16" xfId="0" applyFont="1" applyBorder="1" applyAlignment="1" applyProtection="1">
      <alignment horizontal="center" vertical="center" wrapText="1"/>
    </xf>
    <xf numFmtId="3" fontId="34" fillId="15" borderId="16" xfId="0" applyNumberFormat="1" applyFont="1" applyFill="1" applyBorder="1" applyAlignment="1" applyProtection="1">
      <alignment horizontal="center" vertical="center" wrapText="1"/>
      <protection locked="0"/>
    </xf>
    <xf numFmtId="0" fontId="39" fillId="0" borderId="25" xfId="0" applyFont="1" applyBorder="1" applyAlignment="1" applyProtection="1">
      <alignment horizontal="center" vertical="center" wrapText="1"/>
    </xf>
    <xf numFmtId="0" fontId="39" fillId="0" borderId="25" xfId="0" applyFont="1" applyBorder="1" applyAlignment="1" applyProtection="1">
      <alignment horizontal="right" vertical="center" wrapText="1"/>
    </xf>
    <xf numFmtId="0" fontId="34" fillId="0" borderId="25" xfId="0" applyFont="1" applyBorder="1" applyAlignment="1" applyProtection="1">
      <alignment horizontal="right" vertical="center" wrapText="1"/>
    </xf>
    <xf numFmtId="0" fontId="34" fillId="0" borderId="0" xfId="0" applyFont="1" applyBorder="1" applyAlignment="1" applyProtection="1">
      <alignment horizontal="right" vertical="center" wrapText="1"/>
    </xf>
    <xf numFmtId="3" fontId="39" fillId="0" borderId="16" xfId="0" applyNumberFormat="1" applyFont="1" applyFill="1" applyBorder="1" applyAlignment="1" applyProtection="1">
      <alignment horizontal="center" vertical="center" wrapText="1"/>
    </xf>
    <xf numFmtId="3" fontId="13" fillId="0" borderId="32" xfId="0" applyNumberFormat="1" applyFont="1" applyFill="1" applyBorder="1" applyAlignment="1" applyProtection="1">
      <alignment horizontal="right"/>
    </xf>
    <xf numFmtId="0" fontId="34" fillId="0" borderId="0" xfId="0" applyFont="1" applyBorder="1" applyAlignment="1" applyProtection="1">
      <alignment vertical="center"/>
    </xf>
    <xf numFmtId="0" fontId="34" fillId="0" borderId="47" xfId="0" applyFont="1" applyBorder="1" applyAlignment="1" applyProtection="1">
      <alignment vertical="center"/>
    </xf>
    <xf numFmtId="0" fontId="34" fillId="0" borderId="31" xfId="0" applyFont="1" applyBorder="1" applyAlignment="1" applyProtection="1">
      <alignment horizontal="right" vertical="center" wrapText="1"/>
    </xf>
    <xf numFmtId="3" fontId="34" fillId="0" borderId="31" xfId="0" applyNumberFormat="1" applyFont="1" applyFill="1" applyBorder="1" applyAlignment="1" applyProtection="1">
      <alignment horizontal="center" vertical="center" wrapText="1"/>
    </xf>
    <xf numFmtId="0" fontId="39" fillId="0" borderId="31" xfId="0" applyFont="1" applyBorder="1" applyAlignment="1" applyProtection="1">
      <alignment horizontal="center" vertical="center"/>
    </xf>
    <xf numFmtId="0" fontId="34" fillId="0" borderId="48" xfId="0" applyFont="1" applyBorder="1" applyAlignment="1" applyProtection="1">
      <alignment vertical="center"/>
    </xf>
    <xf numFmtId="3" fontId="39" fillId="0" borderId="0" xfId="0" applyNumberFormat="1" applyFont="1" applyFill="1" applyBorder="1" applyAlignment="1" applyProtection="1">
      <alignment horizontal="center" vertical="center" wrapText="1"/>
    </xf>
    <xf numFmtId="0" fontId="39" fillId="16" borderId="49" xfId="0" applyFont="1" applyFill="1" applyBorder="1" applyAlignment="1" applyProtection="1">
      <alignment horizontal="right" vertical="center"/>
    </xf>
    <xf numFmtId="3" fontId="39" fillId="16" borderId="51" xfId="0" applyNumberFormat="1" applyFont="1" applyFill="1" applyBorder="1" applyAlignment="1" applyProtection="1">
      <alignment horizontal="left" vertical="center" wrapText="1"/>
    </xf>
    <xf numFmtId="168" fontId="34" fillId="15" borderId="16" xfId="0" applyNumberFormat="1" applyFont="1" applyFill="1" applyBorder="1" applyAlignment="1" applyProtection="1">
      <alignment horizontal="center" vertical="center"/>
      <protection locked="0"/>
    </xf>
    <xf numFmtId="165" fontId="34" fillId="15" borderId="16" xfId="0" applyNumberFormat="1" applyFont="1" applyFill="1" applyBorder="1" applyAlignment="1" applyProtection="1">
      <alignment horizontal="center" vertical="center"/>
      <protection locked="0"/>
    </xf>
    <xf numFmtId="11" fontId="34" fillId="15" borderId="16" xfId="0" applyNumberFormat="1" applyFont="1" applyFill="1" applyBorder="1" applyAlignment="1" applyProtection="1">
      <alignment horizontal="center" vertical="center"/>
      <protection locked="0"/>
    </xf>
    <xf numFmtId="0" fontId="34" fillId="0" borderId="0" xfId="0" applyFont="1" applyAlignment="1" applyProtection="1">
      <alignment horizontal="left" vertical="center" wrapText="1"/>
    </xf>
    <xf numFmtId="0" fontId="36" fillId="0" borderId="0" xfId="0" applyFont="1" applyAlignment="1" applyProtection="1"/>
    <xf numFmtId="0" fontId="42" fillId="0" borderId="43" xfId="0" applyFont="1" applyBorder="1" applyAlignment="1" applyProtection="1">
      <alignment vertical="center"/>
    </xf>
    <xf numFmtId="0" fontId="42" fillId="0" borderId="0" xfId="0" applyFont="1" applyBorder="1" applyAlignment="1" applyProtection="1">
      <alignment horizontal="left" vertical="center"/>
    </xf>
    <xf numFmtId="3" fontId="44" fillId="0" borderId="0" xfId="0" applyNumberFormat="1" applyFont="1" applyFill="1" applyBorder="1" applyAlignment="1" applyProtection="1">
      <alignment horizontal="center" vertical="center" wrapText="1"/>
    </xf>
    <xf numFmtId="0" fontId="42" fillId="0" borderId="44" xfId="0" applyFont="1" applyBorder="1" applyAlignment="1" applyProtection="1">
      <alignment vertical="center"/>
    </xf>
    <xf numFmtId="0" fontId="39" fillId="0" borderId="0" xfId="0" applyFont="1" applyBorder="1" applyAlignment="1" applyProtection="1">
      <alignment horizontal="right" vertical="center" wrapText="1"/>
    </xf>
    <xf numFmtId="166" fontId="34" fillId="0" borderId="0" xfId="0" applyNumberFormat="1" applyFont="1" applyFill="1" applyBorder="1" applyAlignment="1" applyProtection="1">
      <alignment horizontal="center" vertical="center"/>
    </xf>
    <xf numFmtId="168" fontId="34" fillId="0" borderId="0" xfId="0" applyNumberFormat="1" applyFont="1" applyAlignment="1" applyProtection="1">
      <alignment horizontal="center" vertical="center" wrapText="1"/>
    </xf>
    <xf numFmtId="0" fontId="34" fillId="0" borderId="0" xfId="0" applyFont="1" applyAlignment="1" applyProtection="1">
      <alignment horizontal="center" vertical="center" wrapText="1"/>
    </xf>
    <xf numFmtId="3" fontId="39" fillId="0" borderId="0" xfId="0" applyNumberFormat="1" applyFont="1" applyFill="1" applyBorder="1" applyAlignment="1" applyProtection="1">
      <alignment horizontal="left" vertical="center" wrapText="1"/>
    </xf>
    <xf numFmtId="0" fontId="39" fillId="0" borderId="52" xfId="0" applyFont="1" applyFill="1" applyBorder="1" applyAlignment="1" applyProtection="1">
      <alignment horizontal="left" vertical="center"/>
    </xf>
    <xf numFmtId="0" fontId="39" fillId="0" borderId="55" xfId="0" applyFont="1" applyFill="1" applyBorder="1" applyAlignment="1" applyProtection="1">
      <alignment horizontal="left" vertical="center"/>
    </xf>
    <xf numFmtId="0" fontId="39" fillId="0" borderId="16" xfId="0" applyFont="1" applyBorder="1" applyAlignment="1" applyProtection="1">
      <alignment horizontal="left" vertical="center" wrapText="1"/>
    </xf>
    <xf numFmtId="0" fontId="36" fillId="0" borderId="0" xfId="0" quotePrefix="1" applyFont="1" applyAlignment="1" applyProtection="1">
      <alignment vertical="center"/>
    </xf>
    <xf numFmtId="0" fontId="39" fillId="0" borderId="16" xfId="0" applyFont="1" applyBorder="1" applyAlignment="1" applyProtection="1">
      <alignment horizontal="left" vertical="center"/>
    </xf>
    <xf numFmtId="0" fontId="39" fillId="0" borderId="25" xfId="0" applyFont="1" applyBorder="1" applyAlignment="1" applyProtection="1">
      <alignment horizontal="left" vertical="center" wrapText="1"/>
    </xf>
    <xf numFmtId="0" fontId="39" fillId="0" borderId="0" xfId="0" applyFont="1" applyFill="1" applyBorder="1" applyAlignment="1" applyProtection="1">
      <alignment horizontal="left" vertical="center"/>
    </xf>
    <xf numFmtId="3" fontId="34" fillId="0" borderId="0" xfId="0" applyNumberFormat="1" applyFont="1" applyFill="1" applyBorder="1" applyAlignment="1" applyProtection="1">
      <alignment horizontal="center" vertical="center" wrapText="1"/>
    </xf>
    <xf numFmtId="0" fontId="37" fillId="0" borderId="0" xfId="0" applyFont="1" applyAlignment="1" applyProtection="1">
      <alignment horizontal="left" vertical="center" wrapText="1"/>
    </xf>
    <xf numFmtId="0" fontId="0" fillId="0" borderId="0" xfId="0" applyProtection="1"/>
    <xf numFmtId="3" fontId="34" fillId="0" borderId="16"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wrapText="1"/>
    </xf>
    <xf numFmtId="0" fontId="49" fillId="0" borderId="0" xfId="0" applyFont="1" applyAlignment="1" applyProtection="1">
      <alignment wrapText="1"/>
    </xf>
    <xf numFmtId="0" fontId="2" fillId="0" borderId="0" xfId="0" applyFont="1" applyProtection="1"/>
    <xf numFmtId="0" fontId="2" fillId="0" borderId="0" xfId="0" applyFont="1" applyAlignment="1" applyProtection="1"/>
    <xf numFmtId="0" fontId="49" fillId="0" borderId="0" xfId="0" applyFont="1" applyProtection="1"/>
    <xf numFmtId="0" fontId="18" fillId="0" borderId="0" xfId="0" applyFont="1" applyProtection="1"/>
    <xf numFmtId="0" fontId="18" fillId="0" borderId="0" xfId="0" applyFont="1" applyAlignment="1" applyProtection="1">
      <alignment horizontal="left"/>
    </xf>
    <xf numFmtId="0" fontId="39" fillId="0" borderId="0" xfId="0" applyFont="1" applyBorder="1" applyAlignment="1" applyProtection="1">
      <alignment horizontal="left" vertical="center" wrapText="1"/>
    </xf>
    <xf numFmtId="0" fontId="51" fillId="0" borderId="55" xfId="0" applyFont="1" applyFill="1" applyBorder="1" applyAlignment="1" applyProtection="1">
      <alignment horizontal="left" vertical="center"/>
    </xf>
    <xf numFmtId="0" fontId="51" fillId="0" borderId="54" xfId="0" applyFont="1" applyFill="1" applyBorder="1" applyAlignment="1" applyProtection="1">
      <alignment horizontal="left" vertical="center"/>
    </xf>
    <xf numFmtId="0" fontId="51" fillId="0" borderId="52"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0" fillId="0" borderId="16" xfId="0" applyNumberFormat="1" applyFont="1" applyFill="1" applyBorder="1" applyAlignment="1" applyProtection="1">
      <alignment horizontal="center" vertical="center" wrapText="1"/>
    </xf>
    <xf numFmtId="0" fontId="3" fillId="0" borderId="0" xfId="0" applyFont="1" applyProtection="1"/>
    <xf numFmtId="0" fontId="0" fillId="0" borderId="0" xfId="0" applyAlignment="1" applyProtection="1">
      <alignment vertical="center"/>
    </xf>
    <xf numFmtId="0" fontId="49" fillId="0" borderId="0" xfId="0" applyFont="1" applyAlignment="1" applyProtection="1">
      <alignment vertical="center" wrapText="1"/>
    </xf>
    <xf numFmtId="0" fontId="0" fillId="0" borderId="0" xfId="0" applyFill="1" applyBorder="1" applyAlignment="1" applyProtection="1">
      <alignment vertical="center"/>
    </xf>
    <xf numFmtId="0" fontId="0" fillId="0" borderId="0" xfId="0" applyFill="1" applyBorder="1" applyProtection="1"/>
    <xf numFmtId="0" fontId="54" fillId="0" borderId="0" xfId="0" applyFont="1" applyAlignment="1">
      <alignment horizontal="left" vertical="center" wrapText="1"/>
    </xf>
    <xf numFmtId="0" fontId="55" fillId="0" borderId="0" xfId="0" applyFont="1" applyAlignment="1">
      <alignment horizontal="left" vertical="center" wrapText="1"/>
    </xf>
    <xf numFmtId="0" fontId="55" fillId="0" borderId="0" xfId="0" applyFont="1" applyAlignment="1">
      <alignment vertical="center" wrapText="1"/>
    </xf>
    <xf numFmtId="0" fontId="50" fillId="0" borderId="0" xfId="0" applyFont="1" applyAlignment="1">
      <alignment wrapText="1"/>
    </xf>
    <xf numFmtId="0" fontId="50" fillId="0" borderId="0" xfId="0" applyFont="1" applyAlignment="1">
      <alignment horizontal="left" vertical="center" wrapText="1"/>
    </xf>
    <xf numFmtId="0" fontId="50" fillId="0" borderId="0" xfId="0" applyFont="1" applyAlignment="1">
      <alignment vertical="center" wrapText="1"/>
    </xf>
    <xf numFmtId="0" fontId="50" fillId="0" borderId="0" xfId="0" applyFont="1" applyAlignment="1">
      <alignment horizontal="center" vertical="center" wrapText="1"/>
    </xf>
    <xf numFmtId="0" fontId="50" fillId="0" borderId="0" xfId="0" applyFont="1" applyFill="1" applyAlignment="1">
      <alignment horizontal="left" vertical="center" wrapText="1"/>
    </xf>
    <xf numFmtId="0" fontId="50" fillId="0" borderId="0" xfId="0" applyFont="1" applyAlignment="1">
      <alignment horizontal="left" vertical="top" wrapText="1"/>
    </xf>
    <xf numFmtId="0" fontId="56" fillId="0" borderId="0" xfId="0" applyFont="1" applyAlignment="1">
      <alignment horizontal="left"/>
    </xf>
    <xf numFmtId="0" fontId="58" fillId="17" borderId="0" xfId="3" quotePrefix="1" applyFont="1" applyFill="1" applyAlignment="1" applyProtection="1">
      <alignment horizontal="center"/>
    </xf>
    <xf numFmtId="0" fontId="59" fillId="5" borderId="0" xfId="3" quotePrefix="1" applyFont="1" applyFill="1" applyAlignment="1" applyProtection="1">
      <alignment horizontal="center"/>
    </xf>
    <xf numFmtId="0" fontId="56" fillId="0" borderId="0" xfId="0" applyFont="1" applyAlignment="1">
      <alignment horizontal="center" vertical="center" wrapText="1"/>
    </xf>
    <xf numFmtId="0" fontId="57" fillId="5" borderId="0" xfId="3" quotePrefix="1" applyFill="1" applyAlignment="1" applyProtection="1">
      <alignment horizontal="center"/>
    </xf>
    <xf numFmtId="0" fontId="37" fillId="0" borderId="0" xfId="0" applyFont="1" applyAlignment="1" applyProtection="1">
      <alignment horizontal="left" vertical="center" wrapText="1"/>
    </xf>
    <xf numFmtId="0" fontId="0" fillId="0" borderId="0" xfId="0" applyProtection="1">
      <protection locked="0"/>
    </xf>
    <xf numFmtId="0" fontId="3" fillId="0" borderId="0" xfId="0" applyFont="1" applyProtection="1">
      <protection locked="0"/>
    </xf>
    <xf numFmtId="0" fontId="49" fillId="0" borderId="0" xfId="0" applyFont="1" applyAlignment="1" applyProtection="1">
      <alignment vertical="center"/>
      <protection locked="0"/>
    </xf>
    <xf numFmtId="0" fontId="49" fillId="0" borderId="0" xfId="0" applyFont="1" applyProtection="1">
      <protection locked="0"/>
    </xf>
    <xf numFmtId="169" fontId="29" fillId="8" borderId="4" xfId="2" applyNumberFormat="1" applyFont="1" applyFill="1" applyBorder="1" applyAlignment="1" applyProtection="1">
      <alignment horizontal="center"/>
    </xf>
    <xf numFmtId="0" fontId="51" fillId="0" borderId="58" xfId="0" applyFont="1" applyFill="1" applyBorder="1" applyAlignment="1" applyProtection="1">
      <alignment horizontal="left" vertical="center"/>
    </xf>
    <xf numFmtId="0" fontId="42" fillId="0" borderId="0" xfId="0" applyFont="1" applyFill="1" applyBorder="1" applyAlignment="1" applyProtection="1">
      <alignment horizontal="left" vertical="top" wrapText="1"/>
    </xf>
    <xf numFmtId="0" fontId="42" fillId="0" borderId="16" xfId="0" applyFont="1" applyFill="1" applyBorder="1" applyAlignment="1" applyProtection="1">
      <alignment horizontal="center" vertical="center" wrapText="1"/>
    </xf>
    <xf numFmtId="0" fontId="34" fillId="16" borderId="16" xfId="0" applyFont="1" applyFill="1" applyBorder="1" applyAlignment="1" applyProtection="1">
      <alignment horizontal="center" vertical="center"/>
      <protection hidden="1"/>
    </xf>
    <xf numFmtId="3" fontId="39" fillId="16" borderId="16" xfId="0" applyNumberFormat="1" applyFont="1" applyFill="1" applyBorder="1" applyAlignment="1" applyProtection="1">
      <alignment horizontal="center" vertical="center" wrapText="1"/>
      <protection hidden="1"/>
    </xf>
    <xf numFmtId="165" fontId="39" fillId="16" borderId="50" xfId="0" applyNumberFormat="1" applyFont="1" applyFill="1" applyBorder="1" applyAlignment="1" applyProtection="1">
      <alignment horizontal="center" vertical="center"/>
      <protection hidden="1"/>
    </xf>
    <xf numFmtId="166" fontId="34" fillId="16" borderId="16" xfId="0" applyNumberFormat="1" applyFont="1" applyFill="1" applyBorder="1" applyAlignment="1" applyProtection="1">
      <alignment horizontal="center" vertical="center"/>
      <protection hidden="1"/>
    </xf>
    <xf numFmtId="166" fontId="39" fillId="16" borderId="26" xfId="0" applyNumberFormat="1" applyFont="1" applyFill="1" applyBorder="1" applyAlignment="1" applyProtection="1">
      <alignment horizontal="right" vertical="center" wrapText="1"/>
      <protection hidden="1"/>
    </xf>
    <xf numFmtId="0" fontId="39" fillId="16" borderId="24" xfId="0" applyNumberFormat="1" applyFont="1" applyFill="1" applyBorder="1" applyAlignment="1" applyProtection="1">
      <alignment horizontal="right" vertical="center" wrapText="1"/>
      <protection hidden="1"/>
    </xf>
    <xf numFmtId="165" fontId="39" fillId="16" borderId="53" xfId="0" applyNumberFormat="1" applyFont="1" applyFill="1" applyBorder="1" applyAlignment="1" applyProtection="1">
      <alignment horizontal="center" vertical="center"/>
      <protection hidden="1"/>
    </xf>
    <xf numFmtId="164" fontId="39" fillId="16" borderId="56" xfId="0" applyNumberFormat="1" applyFont="1" applyFill="1" applyBorder="1" applyAlignment="1" applyProtection="1">
      <alignment horizontal="center" vertical="center"/>
      <protection hidden="1"/>
    </xf>
    <xf numFmtId="165" fontId="39" fillId="16" borderId="56" xfId="0" applyNumberFormat="1" applyFont="1" applyFill="1" applyBorder="1" applyAlignment="1" applyProtection="1">
      <alignment horizontal="center" vertical="center"/>
      <protection hidden="1"/>
    </xf>
    <xf numFmtId="3" fontId="34" fillId="16" borderId="57" xfId="0" applyNumberFormat="1" applyFont="1" applyFill="1" applyBorder="1" applyAlignment="1" applyProtection="1">
      <alignment horizontal="center" vertical="center" wrapText="1"/>
      <protection hidden="1"/>
    </xf>
    <xf numFmtId="166" fontId="39" fillId="16" borderId="24" xfId="0" applyNumberFormat="1" applyFont="1" applyFill="1" applyBorder="1" applyAlignment="1" applyProtection="1">
      <alignment horizontal="right" vertical="center" wrapText="1"/>
      <protection hidden="1"/>
    </xf>
    <xf numFmtId="0" fontId="0" fillId="0" borderId="0" xfId="0" applyProtection="1">
      <protection hidden="1"/>
    </xf>
    <xf numFmtId="165" fontId="39" fillId="16" borderId="59" xfId="0" applyNumberFormat="1" applyFont="1" applyFill="1" applyBorder="1" applyAlignment="1" applyProtection="1">
      <alignment horizontal="center" vertical="center"/>
      <protection hidden="1"/>
    </xf>
    <xf numFmtId="0" fontId="37" fillId="0" borderId="0" xfId="0" applyFont="1" applyAlignment="1" applyProtection="1">
      <alignment horizontal="left" vertical="center" wrapText="1"/>
    </xf>
    <xf numFmtId="0" fontId="39" fillId="0" borderId="16" xfId="0" applyFont="1" applyBorder="1" applyAlignment="1" applyProtection="1">
      <alignment horizontal="right" vertical="center" wrapText="1"/>
    </xf>
    <xf numFmtId="0" fontId="42" fillId="0" borderId="0" xfId="0" applyFont="1" applyFill="1" applyBorder="1" applyAlignment="1" applyProtection="1">
      <alignment horizontal="left" vertical="top" wrapText="1"/>
    </xf>
    <xf numFmtId="0" fontId="42" fillId="0" borderId="31" xfId="0" applyFont="1" applyFill="1" applyBorder="1" applyAlignment="1" applyProtection="1">
      <alignment horizontal="center" vertical="top" wrapText="1"/>
    </xf>
    <xf numFmtId="0" fontId="42" fillId="0" borderId="16" xfId="0" applyFont="1" applyFill="1" applyBorder="1" applyAlignment="1" applyProtection="1">
      <alignment horizontal="center" vertical="top" wrapText="1"/>
    </xf>
    <xf numFmtId="0" fontId="20" fillId="0" borderId="0" xfId="0" applyFont="1" applyAlignment="1">
      <alignment horizontal="center"/>
    </xf>
    <xf numFmtId="0" fontId="21" fillId="6" borderId="36" xfId="0" applyFont="1" applyFill="1" applyBorder="1" applyAlignment="1">
      <alignment horizontal="center"/>
    </xf>
    <xf numFmtId="0" fontId="21" fillId="6" borderId="39" xfId="0" applyFont="1" applyFill="1" applyBorder="1" applyAlignment="1">
      <alignment horizontal="center"/>
    </xf>
    <xf numFmtId="0" fontId="0" fillId="6" borderId="39" xfId="0" applyFill="1" applyBorder="1" applyAlignment="1">
      <alignment horizontal="center"/>
    </xf>
    <xf numFmtId="0" fontId="0" fillId="6" borderId="40" xfId="0" applyFill="1" applyBorder="1" applyAlignment="1">
      <alignment horizontal="center"/>
    </xf>
  </cellXfs>
  <cellStyles count="4">
    <cellStyle name="Lien hypertexte" xfId="3" builtinId="8"/>
    <cellStyle name="Normal" xfId="0" builtinId="0"/>
    <cellStyle name="Normal 2" xfId="1"/>
    <cellStyle name="Normal 3" xfId="2"/>
  </cellStyles>
  <dxfs count="72">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Détermination du volume de rétention :</a:t>
            </a:r>
            <a:r>
              <a:rPr lang="fr-FR" baseline="0"/>
              <a:t> méthode des pluies</a:t>
            </a:r>
            <a:endParaRPr lang="fr-FR"/>
          </a:p>
        </c:rich>
      </c:tx>
      <c:overlay val="1"/>
    </c:title>
    <c:autoTitleDeleted val="0"/>
    <c:plotArea>
      <c:layout>
        <c:manualLayout>
          <c:layoutTarget val="inner"/>
          <c:xMode val="edge"/>
          <c:yMode val="edge"/>
          <c:x val="5.11047174004782E-2"/>
          <c:y val="5.9295408978007808E-2"/>
          <c:w val="0.93482271183085663"/>
          <c:h val="0.89631455876866228"/>
        </c:manualLayout>
      </c:layout>
      <c:scatterChart>
        <c:scatterStyle val="smoothMarker"/>
        <c:varyColors val="0"/>
        <c:ser>
          <c:idx val="2"/>
          <c:order val="0"/>
          <c:tx>
            <c:strRef>
              <c:f>'méth pluie 0-24H coef SDA_2024'!$F$1</c:f>
              <c:strCache>
                <c:ptCount val="1"/>
                <c:pt idx="0">
                  <c:v>H pluie 10 ans</c:v>
                </c:pt>
              </c:strCache>
            </c:strRef>
          </c:tx>
          <c:xVal>
            <c:numRef>
              <c:f>'méth pluie 0-24H coef SDA_2024'!$B$2:$B$27</c:f>
              <c:numCache>
                <c:formatCode>0.0</c:formatCode>
                <c:ptCount val="26"/>
                <c:pt idx="0">
                  <c:v>0</c:v>
                </c:pt>
                <c:pt idx="1">
                  <c:v>0.1</c:v>
                </c:pt>
                <c:pt idx="2">
                  <c:v>0.16666666666666666</c:v>
                </c:pt>
                <c:pt idx="3">
                  <c:v>0.2</c:v>
                </c:pt>
                <c:pt idx="4">
                  <c:v>0.25</c:v>
                </c:pt>
                <c:pt idx="5">
                  <c:v>0.33333333333333331</c:v>
                </c:pt>
                <c:pt idx="6">
                  <c:v>0.41666666666666669</c:v>
                </c:pt>
                <c:pt idx="7">
                  <c:v>0.5</c:v>
                </c:pt>
                <c:pt idx="8">
                  <c:v>0.75</c:v>
                </c:pt>
                <c:pt idx="9">
                  <c:v>1</c:v>
                </c:pt>
                <c:pt idx="10">
                  <c:v>1.25</c:v>
                </c:pt>
                <c:pt idx="11">
                  <c:v>1.5</c:v>
                </c:pt>
                <c:pt idx="12">
                  <c:v>1.75</c:v>
                </c:pt>
                <c:pt idx="13">
                  <c:v>2</c:v>
                </c:pt>
                <c:pt idx="14">
                  <c:v>2.5</c:v>
                </c:pt>
                <c:pt idx="15">
                  <c:v>3.5</c:v>
                </c:pt>
                <c:pt idx="16">
                  <c:v>6</c:v>
                </c:pt>
                <c:pt idx="17">
                  <c:v>8</c:v>
                </c:pt>
                <c:pt idx="18">
                  <c:v>10</c:v>
                </c:pt>
                <c:pt idx="19">
                  <c:v>12</c:v>
                </c:pt>
                <c:pt idx="20">
                  <c:v>14</c:v>
                </c:pt>
                <c:pt idx="21">
                  <c:v>16</c:v>
                </c:pt>
                <c:pt idx="22">
                  <c:v>18</c:v>
                </c:pt>
                <c:pt idx="23">
                  <c:v>20</c:v>
                </c:pt>
                <c:pt idx="24">
                  <c:v>22</c:v>
                </c:pt>
                <c:pt idx="25">
                  <c:v>24</c:v>
                </c:pt>
              </c:numCache>
            </c:numRef>
          </c:xVal>
          <c:yVal>
            <c:numRef>
              <c:f>'méth pluie 0-24H coef SDA_2024'!$F$2:$F$27</c:f>
              <c:numCache>
                <c:formatCode>0.0</c:formatCode>
                <c:ptCount val="26"/>
                <c:pt idx="0">
                  <c:v>0</c:v>
                </c:pt>
                <c:pt idx="1">
                  <c:v>12.7</c:v>
                </c:pt>
                <c:pt idx="2">
                  <c:v>15.3</c:v>
                </c:pt>
                <c:pt idx="3">
                  <c:v>16.3</c:v>
                </c:pt>
                <c:pt idx="4">
                  <c:v>17.600000000000001</c:v>
                </c:pt>
                <c:pt idx="5">
                  <c:v>19.5</c:v>
                </c:pt>
                <c:pt idx="6">
                  <c:v>21.1</c:v>
                </c:pt>
                <c:pt idx="7">
                  <c:v>22.5</c:v>
                </c:pt>
                <c:pt idx="8">
                  <c:v>26</c:v>
                </c:pt>
                <c:pt idx="9">
                  <c:v>28.8</c:v>
                </c:pt>
                <c:pt idx="10">
                  <c:v>31.2</c:v>
                </c:pt>
                <c:pt idx="11">
                  <c:v>33.299999999999997</c:v>
                </c:pt>
                <c:pt idx="12">
                  <c:v>35.200000000000003</c:v>
                </c:pt>
                <c:pt idx="13">
                  <c:v>36.9</c:v>
                </c:pt>
                <c:pt idx="14">
                  <c:v>39.9</c:v>
                </c:pt>
                <c:pt idx="15">
                  <c:v>45</c:v>
                </c:pt>
                <c:pt idx="16">
                  <c:v>49.4</c:v>
                </c:pt>
                <c:pt idx="17">
                  <c:v>52.8</c:v>
                </c:pt>
                <c:pt idx="18">
                  <c:v>55.7</c:v>
                </c:pt>
                <c:pt idx="19">
                  <c:v>58.1</c:v>
                </c:pt>
                <c:pt idx="20">
                  <c:v>60.3</c:v>
                </c:pt>
                <c:pt idx="21">
                  <c:v>62.2</c:v>
                </c:pt>
                <c:pt idx="22">
                  <c:v>64</c:v>
                </c:pt>
                <c:pt idx="23">
                  <c:v>65.599999999999994</c:v>
                </c:pt>
                <c:pt idx="24">
                  <c:v>67.099999999999994</c:v>
                </c:pt>
                <c:pt idx="25">
                  <c:v>68.5</c:v>
                </c:pt>
              </c:numCache>
            </c:numRef>
          </c:yVal>
          <c:smooth val="1"/>
        </c:ser>
        <c:ser>
          <c:idx val="0"/>
          <c:order val="1"/>
          <c:tx>
            <c:strRef>
              <c:f>'méth pluie 0-24H coef SDA_2024'!$D$1</c:f>
              <c:strCache>
                <c:ptCount val="1"/>
                <c:pt idx="0">
                  <c:v>H pluie 30 ans</c:v>
                </c:pt>
              </c:strCache>
            </c:strRef>
          </c:tx>
          <c:trendline>
            <c:trendlineType val="log"/>
            <c:dispRSqr val="0"/>
            <c:dispEq val="0"/>
          </c:trendline>
          <c:trendline>
            <c:trendlineType val="log"/>
            <c:dispRSqr val="0"/>
            <c:dispEq val="0"/>
          </c:trendline>
          <c:trendline>
            <c:trendlineType val="log"/>
            <c:dispRSqr val="0"/>
            <c:dispEq val="0"/>
          </c:trendline>
          <c:trendline>
            <c:trendlineType val="log"/>
            <c:dispRSqr val="0"/>
            <c:dispEq val="0"/>
          </c:trendline>
          <c:xVal>
            <c:numRef>
              <c:f>'méth pluie 0-24H coef SDA_2024'!$B$2:$B$28</c:f>
              <c:numCache>
                <c:formatCode>0.0</c:formatCode>
                <c:ptCount val="27"/>
                <c:pt idx="0">
                  <c:v>0</c:v>
                </c:pt>
                <c:pt idx="1">
                  <c:v>0.1</c:v>
                </c:pt>
                <c:pt idx="2">
                  <c:v>0.16666666666666666</c:v>
                </c:pt>
                <c:pt idx="3">
                  <c:v>0.2</c:v>
                </c:pt>
                <c:pt idx="4">
                  <c:v>0.25</c:v>
                </c:pt>
                <c:pt idx="5">
                  <c:v>0.33333333333333331</c:v>
                </c:pt>
                <c:pt idx="6">
                  <c:v>0.41666666666666669</c:v>
                </c:pt>
                <c:pt idx="7">
                  <c:v>0.5</c:v>
                </c:pt>
                <c:pt idx="8">
                  <c:v>0.75</c:v>
                </c:pt>
                <c:pt idx="9">
                  <c:v>1</c:v>
                </c:pt>
                <c:pt idx="10">
                  <c:v>1.25</c:v>
                </c:pt>
                <c:pt idx="11">
                  <c:v>1.5</c:v>
                </c:pt>
                <c:pt idx="12">
                  <c:v>1.75</c:v>
                </c:pt>
                <c:pt idx="13">
                  <c:v>2</c:v>
                </c:pt>
                <c:pt idx="14">
                  <c:v>2.5</c:v>
                </c:pt>
                <c:pt idx="15">
                  <c:v>3.5</c:v>
                </c:pt>
                <c:pt idx="16">
                  <c:v>6</c:v>
                </c:pt>
                <c:pt idx="17">
                  <c:v>8</c:v>
                </c:pt>
                <c:pt idx="18">
                  <c:v>10</c:v>
                </c:pt>
                <c:pt idx="19">
                  <c:v>12</c:v>
                </c:pt>
                <c:pt idx="20">
                  <c:v>14</c:v>
                </c:pt>
                <c:pt idx="21">
                  <c:v>16</c:v>
                </c:pt>
                <c:pt idx="22">
                  <c:v>18</c:v>
                </c:pt>
                <c:pt idx="23">
                  <c:v>20</c:v>
                </c:pt>
                <c:pt idx="24">
                  <c:v>22</c:v>
                </c:pt>
                <c:pt idx="25">
                  <c:v>24</c:v>
                </c:pt>
              </c:numCache>
            </c:numRef>
          </c:xVal>
          <c:yVal>
            <c:numRef>
              <c:f>'méth pluie 0-24H coef SDA_2024'!$D$2:$D$28</c:f>
              <c:numCache>
                <c:formatCode>0.0</c:formatCode>
                <c:ptCount val="27"/>
                <c:pt idx="0">
                  <c:v>0</c:v>
                </c:pt>
                <c:pt idx="1">
                  <c:v>14.97506387174554</c:v>
                </c:pt>
                <c:pt idx="2">
                  <c:v>18.285698070785578</c:v>
                </c:pt>
                <c:pt idx="3">
                  <c:v>19.636831418027892</c:v>
                </c:pt>
                <c:pt idx="4">
                  <c:v>21.427091629798085</c:v>
                </c:pt>
                <c:pt idx="5">
                  <c:v>23.978072711560301</c:v>
                </c:pt>
                <c:pt idx="6">
                  <c:v>26.164117324187025</c:v>
                </c:pt>
                <c:pt idx="7">
                  <c:v>28.097388412937459</c:v>
                </c:pt>
                <c:pt idx="8">
                  <c:v>32.924382419061395</c:v>
                </c:pt>
                <c:pt idx="9">
                  <c:v>36.844162020084269</c:v>
                </c:pt>
                <c:pt idx="10">
                  <c:v>40.203188529830399</c:v>
                </c:pt>
                <c:pt idx="11">
                  <c:v>43.173808982921443</c:v>
                </c:pt>
                <c:pt idx="12">
                  <c:v>45.856041362825643</c:v>
                </c:pt>
                <c:pt idx="13">
                  <c:v>48.313823869024141</c:v>
                </c:pt>
                <c:pt idx="14">
                  <c:v>52.718522097057985</c:v>
                </c:pt>
                <c:pt idx="15">
                  <c:v>60.131119403029295</c:v>
                </c:pt>
                <c:pt idx="16">
                  <c:v>65.502113459564043</c:v>
                </c:pt>
                <c:pt idx="17">
                  <c:v>69.182089193917108</c:v>
                </c:pt>
                <c:pt idx="18">
                  <c:v>72.178287764889262</c:v>
                </c:pt>
                <c:pt idx="19">
                  <c:v>74.722434347367354</c:v>
                </c:pt>
                <c:pt idx="20">
                  <c:v>76.943316556968796</c:v>
                </c:pt>
                <c:pt idx="21">
                  <c:v>78.920417140393653</c:v>
                </c:pt>
                <c:pt idx="22">
                  <c:v>80.706469837102816</c:v>
                </c:pt>
                <c:pt idx="23">
                  <c:v>82.338371755695491</c:v>
                </c:pt>
                <c:pt idx="24">
                  <c:v>83.843014529014553</c:v>
                </c:pt>
                <c:pt idx="25">
                  <c:v>85.240641864837158</c:v>
                </c:pt>
              </c:numCache>
            </c:numRef>
          </c:yVal>
          <c:smooth val="1"/>
        </c:ser>
        <c:ser>
          <c:idx val="3"/>
          <c:order val="2"/>
          <c:tx>
            <c:strRef>
              <c:f>'méth pluie 0-24H coef SDA_2024'!$H$1</c:f>
              <c:strCache>
                <c:ptCount val="1"/>
                <c:pt idx="0">
                  <c:v>H pluie 100 ans</c:v>
                </c:pt>
              </c:strCache>
            </c:strRef>
          </c:tx>
          <c:marker>
            <c:symbol val="circle"/>
            <c:size val="7"/>
            <c:spPr>
              <a:solidFill>
                <a:schemeClr val="accent2">
                  <a:lumMod val="60000"/>
                  <a:lumOff val="40000"/>
                </a:schemeClr>
              </a:solidFill>
            </c:spPr>
          </c:marker>
          <c:xVal>
            <c:numRef>
              <c:f>'méth pluie 0-24H coef SDA_2024'!$B$2:$B$27</c:f>
              <c:numCache>
                <c:formatCode>0.0</c:formatCode>
                <c:ptCount val="26"/>
                <c:pt idx="0">
                  <c:v>0</c:v>
                </c:pt>
                <c:pt idx="1">
                  <c:v>0.1</c:v>
                </c:pt>
                <c:pt idx="2">
                  <c:v>0.16666666666666666</c:v>
                </c:pt>
                <c:pt idx="3">
                  <c:v>0.2</c:v>
                </c:pt>
                <c:pt idx="4">
                  <c:v>0.25</c:v>
                </c:pt>
                <c:pt idx="5">
                  <c:v>0.33333333333333331</c:v>
                </c:pt>
                <c:pt idx="6">
                  <c:v>0.41666666666666669</c:v>
                </c:pt>
                <c:pt idx="7">
                  <c:v>0.5</c:v>
                </c:pt>
                <c:pt idx="8">
                  <c:v>0.75</c:v>
                </c:pt>
                <c:pt idx="9">
                  <c:v>1</c:v>
                </c:pt>
                <c:pt idx="10">
                  <c:v>1.25</c:v>
                </c:pt>
                <c:pt idx="11">
                  <c:v>1.5</c:v>
                </c:pt>
                <c:pt idx="12">
                  <c:v>1.75</c:v>
                </c:pt>
                <c:pt idx="13">
                  <c:v>2</c:v>
                </c:pt>
                <c:pt idx="14">
                  <c:v>2.5</c:v>
                </c:pt>
                <c:pt idx="15">
                  <c:v>3.5</c:v>
                </c:pt>
                <c:pt idx="16">
                  <c:v>6</c:v>
                </c:pt>
                <c:pt idx="17">
                  <c:v>8</c:v>
                </c:pt>
                <c:pt idx="18">
                  <c:v>10</c:v>
                </c:pt>
                <c:pt idx="19">
                  <c:v>12</c:v>
                </c:pt>
                <c:pt idx="20">
                  <c:v>14</c:v>
                </c:pt>
                <c:pt idx="21">
                  <c:v>16</c:v>
                </c:pt>
                <c:pt idx="22">
                  <c:v>18</c:v>
                </c:pt>
                <c:pt idx="23">
                  <c:v>20</c:v>
                </c:pt>
                <c:pt idx="24">
                  <c:v>22</c:v>
                </c:pt>
                <c:pt idx="25">
                  <c:v>24</c:v>
                </c:pt>
              </c:numCache>
            </c:numRef>
          </c:xVal>
          <c:yVal>
            <c:numRef>
              <c:f>'méth pluie 0-24H coef SDA_2024'!$H$2:$H$27</c:f>
              <c:numCache>
                <c:formatCode>0.0</c:formatCode>
                <c:ptCount val="26"/>
                <c:pt idx="0">
                  <c:v>0</c:v>
                </c:pt>
                <c:pt idx="1">
                  <c:v>17.100000000000001</c:v>
                </c:pt>
                <c:pt idx="2">
                  <c:v>21.4</c:v>
                </c:pt>
                <c:pt idx="3">
                  <c:v>23.2</c:v>
                </c:pt>
                <c:pt idx="4">
                  <c:v>25.6</c:v>
                </c:pt>
                <c:pt idx="5">
                  <c:v>29.1</c:v>
                </c:pt>
                <c:pt idx="6">
                  <c:v>32.1</c:v>
                </c:pt>
                <c:pt idx="7">
                  <c:v>34.700000000000003</c:v>
                </c:pt>
                <c:pt idx="8">
                  <c:v>41.5</c:v>
                </c:pt>
                <c:pt idx="9">
                  <c:v>47.1</c:v>
                </c:pt>
                <c:pt idx="10">
                  <c:v>52</c:v>
                </c:pt>
                <c:pt idx="11">
                  <c:v>56.3</c:v>
                </c:pt>
                <c:pt idx="12">
                  <c:v>60.3</c:v>
                </c:pt>
                <c:pt idx="13">
                  <c:v>63.9</c:v>
                </c:pt>
                <c:pt idx="14">
                  <c:v>70.5</c:v>
                </c:pt>
                <c:pt idx="15">
                  <c:v>81.8</c:v>
                </c:pt>
                <c:pt idx="16">
                  <c:v>89.8</c:v>
                </c:pt>
                <c:pt idx="17">
                  <c:v>93.2</c:v>
                </c:pt>
                <c:pt idx="18">
                  <c:v>95.9</c:v>
                </c:pt>
                <c:pt idx="19">
                  <c:v>98.2</c:v>
                </c:pt>
                <c:pt idx="20">
                  <c:v>100.2</c:v>
                </c:pt>
                <c:pt idx="21">
                  <c:v>101.9</c:v>
                </c:pt>
                <c:pt idx="22">
                  <c:v>103.5</c:v>
                </c:pt>
                <c:pt idx="23">
                  <c:v>104.9</c:v>
                </c:pt>
                <c:pt idx="24">
                  <c:v>106.2</c:v>
                </c:pt>
                <c:pt idx="25">
                  <c:v>107.4</c:v>
                </c:pt>
              </c:numCache>
            </c:numRef>
          </c:yVal>
          <c:smooth val="1"/>
        </c:ser>
        <c:ser>
          <c:idx val="1"/>
          <c:order val="3"/>
          <c:tx>
            <c:strRef>
              <c:f>'méth pluie 0-24H coef SDA_2024'!$C$1</c:f>
              <c:strCache>
                <c:ptCount val="1"/>
                <c:pt idx="0">
                  <c:v>h fuite en mm</c:v>
                </c:pt>
              </c:strCache>
            </c:strRef>
          </c:tx>
          <c:marker>
            <c:symbol val="none"/>
          </c:marker>
          <c:xVal>
            <c:numRef>
              <c:f>'méth pluie 0-24H coef SDA_2024'!$B$2:$B$27</c:f>
              <c:numCache>
                <c:formatCode>0.0</c:formatCode>
                <c:ptCount val="26"/>
                <c:pt idx="0">
                  <c:v>0</c:v>
                </c:pt>
                <c:pt idx="1">
                  <c:v>0.1</c:v>
                </c:pt>
                <c:pt idx="2">
                  <c:v>0.16666666666666666</c:v>
                </c:pt>
                <c:pt idx="3">
                  <c:v>0.2</c:v>
                </c:pt>
                <c:pt idx="4">
                  <c:v>0.25</c:v>
                </c:pt>
                <c:pt idx="5">
                  <c:v>0.33333333333333331</c:v>
                </c:pt>
                <c:pt idx="6">
                  <c:v>0.41666666666666669</c:v>
                </c:pt>
                <c:pt idx="7">
                  <c:v>0.5</c:v>
                </c:pt>
                <c:pt idx="8">
                  <c:v>0.75</c:v>
                </c:pt>
                <c:pt idx="9">
                  <c:v>1</c:v>
                </c:pt>
                <c:pt idx="10">
                  <c:v>1.25</c:v>
                </c:pt>
                <c:pt idx="11">
                  <c:v>1.5</c:v>
                </c:pt>
                <c:pt idx="12">
                  <c:v>1.75</c:v>
                </c:pt>
                <c:pt idx="13">
                  <c:v>2</c:v>
                </c:pt>
                <c:pt idx="14">
                  <c:v>2.5</c:v>
                </c:pt>
                <c:pt idx="15">
                  <c:v>3.5</c:v>
                </c:pt>
                <c:pt idx="16">
                  <c:v>6</c:v>
                </c:pt>
                <c:pt idx="17">
                  <c:v>8</c:v>
                </c:pt>
                <c:pt idx="18">
                  <c:v>10</c:v>
                </c:pt>
                <c:pt idx="19">
                  <c:v>12</c:v>
                </c:pt>
                <c:pt idx="20">
                  <c:v>14</c:v>
                </c:pt>
                <c:pt idx="21">
                  <c:v>16</c:v>
                </c:pt>
                <c:pt idx="22">
                  <c:v>18</c:v>
                </c:pt>
                <c:pt idx="23">
                  <c:v>20</c:v>
                </c:pt>
                <c:pt idx="24">
                  <c:v>22</c:v>
                </c:pt>
                <c:pt idx="25">
                  <c:v>24</c:v>
                </c:pt>
              </c:numCache>
            </c:numRef>
          </c:xVal>
          <c:yVal>
            <c:numRef>
              <c:f>'méth pluie 0-24H coef SDA_2024'!$C$2:$C$27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dLbls>
          <c:showLegendKey val="0"/>
          <c:showVal val="0"/>
          <c:showCatName val="0"/>
          <c:showSerName val="0"/>
          <c:showPercent val="0"/>
          <c:showBubbleSize val="0"/>
        </c:dLbls>
        <c:axId val="444114192"/>
        <c:axId val="444113016"/>
      </c:scatterChart>
      <c:valAx>
        <c:axId val="444114192"/>
        <c:scaling>
          <c:orientation val="minMax"/>
          <c:max val="24"/>
        </c:scaling>
        <c:delete val="0"/>
        <c:axPos val="b"/>
        <c:title>
          <c:tx>
            <c:rich>
              <a:bodyPr/>
              <a:lstStyle/>
              <a:p>
                <a:pPr>
                  <a:defRPr/>
                </a:pPr>
                <a:r>
                  <a:rPr lang="en-US"/>
                  <a:t>durée en heures</a:t>
                </a:r>
              </a:p>
            </c:rich>
          </c:tx>
          <c:overlay val="0"/>
        </c:title>
        <c:numFmt formatCode="0" sourceLinked="0"/>
        <c:majorTickMark val="out"/>
        <c:minorTickMark val="none"/>
        <c:tickLblPos val="nextTo"/>
        <c:txPr>
          <a:bodyPr/>
          <a:lstStyle/>
          <a:p>
            <a:pPr>
              <a:defRPr sz="700"/>
            </a:pPr>
            <a:endParaRPr lang="fr-FR"/>
          </a:p>
        </c:txPr>
        <c:crossAx val="444113016"/>
        <c:crosses val="autoZero"/>
        <c:crossBetween val="midCat"/>
        <c:majorUnit val="1"/>
      </c:valAx>
      <c:valAx>
        <c:axId val="444113016"/>
        <c:scaling>
          <c:orientation val="minMax"/>
          <c:max val="110"/>
        </c:scaling>
        <c:delete val="0"/>
        <c:axPos val="l"/>
        <c:majorGridlines>
          <c:spPr>
            <a:ln>
              <a:solidFill>
                <a:schemeClr val="bg1">
                  <a:lumMod val="65000"/>
                </a:schemeClr>
              </a:solidFill>
              <a:prstDash val="sysDash"/>
            </a:ln>
          </c:spPr>
        </c:majorGridlines>
        <c:title>
          <c:tx>
            <c:rich>
              <a:bodyPr rot="-5400000" vert="horz"/>
              <a:lstStyle/>
              <a:p>
                <a:pPr>
                  <a:defRPr/>
                </a:pPr>
                <a:r>
                  <a:rPr lang="en-US"/>
                  <a:t>hauteur en mm</a:t>
                </a:r>
              </a:p>
            </c:rich>
          </c:tx>
          <c:overlay val="0"/>
        </c:title>
        <c:numFmt formatCode="0" sourceLinked="0"/>
        <c:majorTickMark val="out"/>
        <c:minorTickMark val="none"/>
        <c:tickLblPos val="nextTo"/>
        <c:txPr>
          <a:bodyPr/>
          <a:lstStyle/>
          <a:p>
            <a:pPr>
              <a:defRPr sz="700"/>
            </a:pPr>
            <a:endParaRPr lang="fr-FR"/>
          </a:p>
        </c:txPr>
        <c:crossAx val="444114192"/>
        <c:crosses val="autoZero"/>
        <c:crossBetween val="midCat"/>
        <c:majorUnit val="2"/>
      </c:valAx>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5.5476223986455242E-2"/>
          <c:y val="6.9341278665055517E-2"/>
          <c:w val="0.13593696100928476"/>
          <c:h val="0.13091700133010278"/>
        </c:manualLayout>
      </c:layout>
      <c:overlay val="0"/>
    </c:legend>
    <c:plotVisOnly val="1"/>
    <c:dispBlanksAs val="gap"/>
    <c:showDLblsOverMax val="0"/>
  </c:chart>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47625</xdr:rowOff>
    </xdr:from>
    <xdr:to>
      <xdr:col>4</xdr:col>
      <xdr:colOff>523875</xdr:colOff>
      <xdr:row>5</xdr:row>
      <xdr:rowOff>219075</xdr:rowOff>
    </xdr:to>
    <xdr:sp macro="" textlink="">
      <xdr:nvSpPr>
        <xdr:cNvPr id="2" name="Texte 1"/>
        <xdr:cNvSpPr>
          <a:spLocks noChangeArrowheads="1"/>
        </xdr:cNvSpPr>
      </xdr:nvSpPr>
      <xdr:spPr bwMode="auto">
        <a:xfrm>
          <a:off x="28575" y="1047750"/>
          <a:ext cx="2600325" cy="4000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0" anchor="t" upright="1"/>
        <a:lstStyle/>
        <a:p>
          <a:pPr algn="ctr" rtl="0">
            <a:defRPr sz="1000"/>
          </a:pPr>
          <a:r>
            <a:rPr lang="fr-FR" sz="1000" b="0" i="0" u="none" strike="noStrike" baseline="0">
              <a:solidFill>
                <a:srgbClr val="000000"/>
              </a:solidFill>
              <a:latin typeface="Arial"/>
              <a:cs typeface="Arial"/>
            </a:rPr>
            <a:t>Tableau n°1 : Intensité des pluies de durée t  pour la région I</a:t>
          </a:r>
        </a:p>
      </xdr:txBody>
    </xdr:sp>
    <xdr:clientData/>
  </xdr:twoCellAnchor>
  <xdr:twoCellAnchor>
    <xdr:from>
      <xdr:col>7</xdr:col>
      <xdr:colOff>38100</xdr:colOff>
      <xdr:row>4</xdr:row>
      <xdr:rowOff>28575</xdr:rowOff>
    </xdr:from>
    <xdr:to>
      <xdr:col>11</xdr:col>
      <xdr:colOff>523875</xdr:colOff>
      <xdr:row>5</xdr:row>
      <xdr:rowOff>190500</xdr:rowOff>
    </xdr:to>
    <xdr:sp macro="" textlink="">
      <xdr:nvSpPr>
        <xdr:cNvPr id="3" name="Texte 6"/>
        <xdr:cNvSpPr>
          <a:spLocks noChangeArrowheads="1"/>
        </xdr:cNvSpPr>
      </xdr:nvSpPr>
      <xdr:spPr bwMode="auto">
        <a:xfrm>
          <a:off x="3495675" y="1028700"/>
          <a:ext cx="2590800" cy="390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n°2 : Hauteur d'eau précipitée pour des pluies de durée t</a:t>
          </a:r>
        </a:p>
      </xdr:txBody>
    </xdr:sp>
    <xdr:clientData/>
  </xdr:twoCellAnchor>
  <xdr:twoCellAnchor>
    <xdr:from>
      <xdr:col>14</xdr:col>
      <xdr:colOff>38100</xdr:colOff>
      <xdr:row>4</xdr:row>
      <xdr:rowOff>38100</xdr:rowOff>
    </xdr:from>
    <xdr:to>
      <xdr:col>18</xdr:col>
      <xdr:colOff>523875</xdr:colOff>
      <xdr:row>5</xdr:row>
      <xdr:rowOff>200025</xdr:rowOff>
    </xdr:to>
    <xdr:sp macro="" textlink="">
      <xdr:nvSpPr>
        <xdr:cNvPr id="4" name="Texte 7"/>
        <xdr:cNvSpPr>
          <a:spLocks noChangeArrowheads="1"/>
        </xdr:cNvSpPr>
      </xdr:nvSpPr>
      <xdr:spPr bwMode="auto">
        <a:xfrm>
          <a:off x="6457950" y="1038225"/>
          <a:ext cx="2590800" cy="390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n°3 : Volume précipité pour des pluies de durée t par rapport à la surface active</a:t>
          </a:r>
        </a:p>
      </xdr:txBody>
    </xdr:sp>
    <xdr:clientData/>
  </xdr:twoCellAnchor>
  <xdr:twoCellAnchor>
    <xdr:from>
      <xdr:col>7</xdr:col>
      <xdr:colOff>38100</xdr:colOff>
      <xdr:row>22</xdr:row>
      <xdr:rowOff>38100</xdr:rowOff>
    </xdr:from>
    <xdr:to>
      <xdr:col>11</xdr:col>
      <xdr:colOff>523875</xdr:colOff>
      <xdr:row>24</xdr:row>
      <xdr:rowOff>104775</xdr:rowOff>
    </xdr:to>
    <xdr:sp macro="" textlink="">
      <xdr:nvSpPr>
        <xdr:cNvPr id="5" name="Texte 8"/>
        <xdr:cNvSpPr>
          <a:spLocks noChangeArrowheads="1"/>
        </xdr:cNvSpPr>
      </xdr:nvSpPr>
      <xdr:spPr bwMode="auto">
        <a:xfrm>
          <a:off x="3495675" y="4171950"/>
          <a:ext cx="2590800" cy="390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n°5 : Différence entre le volume précipité et le volume évacué</a:t>
          </a:r>
        </a:p>
      </xdr:txBody>
    </xdr:sp>
    <xdr:clientData/>
  </xdr:twoCellAnchor>
  <xdr:twoCellAnchor>
    <xdr:from>
      <xdr:col>0</xdr:col>
      <xdr:colOff>314325</xdr:colOff>
      <xdr:row>22</xdr:row>
      <xdr:rowOff>47625</xdr:rowOff>
    </xdr:from>
    <xdr:to>
      <xdr:col>3</xdr:col>
      <xdr:colOff>533400</xdr:colOff>
      <xdr:row>25</xdr:row>
      <xdr:rowOff>28575</xdr:rowOff>
    </xdr:to>
    <xdr:sp macro="" textlink="">
      <xdr:nvSpPr>
        <xdr:cNvPr id="6" name="Texte 9"/>
        <xdr:cNvSpPr>
          <a:spLocks noChangeArrowheads="1"/>
        </xdr:cNvSpPr>
      </xdr:nvSpPr>
      <xdr:spPr bwMode="auto">
        <a:xfrm>
          <a:off x="314325" y="4181475"/>
          <a:ext cx="1771650"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n°4 : Volume évacué par la parcelle en fonction du débit de fuite</a:t>
          </a:r>
        </a:p>
      </xdr:txBody>
    </xdr:sp>
    <xdr:clientData/>
  </xdr:twoCellAnchor>
  <xdr:twoCellAnchor>
    <xdr:from>
      <xdr:col>9</xdr:col>
      <xdr:colOff>9525</xdr:colOff>
      <xdr:row>0</xdr:row>
      <xdr:rowOff>104775</xdr:rowOff>
    </xdr:from>
    <xdr:to>
      <xdr:col>18</xdr:col>
      <xdr:colOff>304800</xdr:colOff>
      <xdr:row>2</xdr:row>
      <xdr:rowOff>238125</xdr:rowOff>
    </xdr:to>
    <xdr:sp macro="" textlink="">
      <xdr:nvSpPr>
        <xdr:cNvPr id="7" name="Texte 10"/>
        <xdr:cNvSpPr txBox="1">
          <a:spLocks noChangeArrowheads="1"/>
        </xdr:cNvSpPr>
      </xdr:nvSpPr>
      <xdr:spPr bwMode="auto">
        <a:xfrm>
          <a:off x="4467225" y="104775"/>
          <a:ext cx="4362450" cy="647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45720" rIns="36576" bIns="0" anchor="t" upright="1"/>
        <a:lstStyle/>
        <a:p>
          <a:pPr algn="ctr" rtl="0">
            <a:defRPr sz="1000"/>
          </a:pPr>
          <a:r>
            <a:rPr lang="fr-FR" sz="1400" b="1" i="1" u="none" strike="noStrike" baseline="0">
              <a:solidFill>
                <a:srgbClr val="000000"/>
              </a:solidFill>
              <a:latin typeface="Comic Sans MS"/>
            </a:rPr>
            <a:t>CALCUL DU VOLUME DE RETENTION D'UNE PARCELLE</a:t>
          </a:r>
        </a:p>
      </xdr:txBody>
    </xdr:sp>
    <xdr:clientData/>
  </xdr:twoCellAnchor>
  <xdr:twoCellAnchor>
    <xdr:from>
      <xdr:col>13</xdr:col>
      <xdr:colOff>276224</xdr:colOff>
      <xdr:row>27</xdr:row>
      <xdr:rowOff>104775</xdr:rowOff>
    </xdr:from>
    <xdr:to>
      <xdr:col>20</xdr:col>
      <xdr:colOff>12700</xdr:colOff>
      <xdr:row>38</xdr:row>
      <xdr:rowOff>152401</xdr:rowOff>
    </xdr:to>
    <xdr:sp macro="" textlink="" fLocksText="0">
      <xdr:nvSpPr>
        <xdr:cNvPr id="8" name="Texte 11"/>
        <xdr:cNvSpPr txBox="1">
          <a:spLocks noChangeArrowheads="1"/>
        </xdr:cNvSpPr>
      </xdr:nvSpPr>
      <xdr:spPr bwMode="auto">
        <a:xfrm>
          <a:off x="7642224" y="5197475"/>
          <a:ext cx="3406776" cy="18637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41148" rIns="36576" bIns="0" anchor="t" upright="1"/>
        <a:lstStyle/>
        <a:p>
          <a:pPr algn="ctr" rtl="0">
            <a:defRPr sz="1000"/>
          </a:pPr>
          <a:r>
            <a:rPr lang="fr-FR" sz="1200" b="0" i="0" u="sng" strike="noStrike" baseline="0">
              <a:solidFill>
                <a:srgbClr val="000000"/>
              </a:solidFill>
              <a:latin typeface="Comic Sans MS"/>
            </a:rPr>
            <a:t>PROJET :</a:t>
          </a:r>
          <a:endParaRPr lang="fr-FR" sz="1200" b="0" i="0" u="none" strike="noStrike" baseline="0">
            <a:solidFill>
              <a:srgbClr val="000000"/>
            </a:solidFill>
            <a:latin typeface="Comic Sans MS"/>
          </a:endParaRPr>
        </a:p>
        <a:p>
          <a:pPr algn="ctr" rtl="0">
            <a:defRPr sz="1000"/>
          </a:pPr>
          <a:endParaRPr lang="fr-FR" sz="1200" b="0" i="0" u="none" strike="noStrike" baseline="0">
            <a:solidFill>
              <a:srgbClr val="000000"/>
            </a:solidFill>
            <a:latin typeface="Comic Sans MS"/>
          </a:endParaRPr>
        </a:p>
        <a:p>
          <a:pPr algn="ctr" rtl="0">
            <a:defRPr sz="1000"/>
          </a:pPr>
          <a:endParaRPr lang="fr-FR" sz="1200" b="0" i="0" u="none" strike="noStrike" baseline="0">
            <a:solidFill>
              <a:srgbClr val="000000"/>
            </a:solidFill>
            <a:latin typeface="Comic Sans MS"/>
          </a:endParaRPr>
        </a:p>
      </xdr:txBody>
    </xdr:sp>
    <xdr:clientData fLocksWithSheet="0"/>
  </xdr:twoCellAnchor>
  <xdr:twoCellAnchor>
    <xdr:from>
      <xdr:col>20</xdr:col>
      <xdr:colOff>558800</xdr:colOff>
      <xdr:row>17</xdr:row>
      <xdr:rowOff>88900</xdr:rowOff>
    </xdr:from>
    <xdr:to>
      <xdr:col>25</xdr:col>
      <xdr:colOff>88900</xdr:colOff>
      <xdr:row>24</xdr:row>
      <xdr:rowOff>152400</xdr:rowOff>
    </xdr:to>
    <xdr:sp macro="" textlink="">
      <xdr:nvSpPr>
        <xdr:cNvPr id="10" name="ZoneTexte 9"/>
        <xdr:cNvSpPr txBox="1"/>
      </xdr:nvSpPr>
      <xdr:spPr>
        <a:xfrm>
          <a:off x="11557000" y="3441700"/>
          <a:ext cx="46101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a:solidFill>
                <a:srgbClr val="92D050"/>
              </a:solidFill>
            </a:rPr>
            <a:t>Saisir les surfaces en</a:t>
          </a:r>
          <a:r>
            <a:rPr lang="fr-FR" sz="1800" baseline="0">
              <a:solidFill>
                <a:srgbClr val="92D050"/>
              </a:solidFill>
            </a:rPr>
            <a:t> m² </a:t>
          </a:r>
          <a:r>
            <a:rPr lang="fr-FR" sz="1800" baseline="0">
              <a:solidFill>
                <a:schemeClr val="tx1"/>
              </a:solidFill>
            </a:rPr>
            <a:t>du projet selon le type d'occupation du sol et le</a:t>
          </a:r>
          <a:r>
            <a:rPr lang="fr-FR" sz="1800" baseline="0">
              <a:solidFill>
                <a:srgbClr val="FF0000"/>
              </a:solidFill>
            </a:rPr>
            <a:t> </a:t>
          </a:r>
          <a:r>
            <a:rPr lang="fr-FR" sz="1800" baseline="0">
              <a:solidFill>
                <a:srgbClr val="00B0F0"/>
              </a:solidFill>
            </a:rPr>
            <a:t>débit de fuite en m3/s</a:t>
          </a:r>
        </a:p>
        <a:p>
          <a:r>
            <a:rPr lang="fr-FR" sz="1400" baseline="0">
              <a:solidFill>
                <a:schemeClr val="tx1"/>
              </a:solidFill>
            </a:rPr>
            <a:t>1m</a:t>
          </a:r>
          <a:r>
            <a:rPr lang="fr-FR" sz="1400" baseline="30000">
              <a:solidFill>
                <a:schemeClr val="tx1"/>
              </a:solidFill>
            </a:rPr>
            <a:t>3</a:t>
          </a:r>
          <a:r>
            <a:rPr lang="fr-FR" sz="1400" baseline="0">
              <a:solidFill>
                <a:schemeClr val="tx1"/>
              </a:solidFill>
            </a:rPr>
            <a:t>/s=1000l/s</a:t>
          </a:r>
        </a:p>
        <a:p>
          <a:r>
            <a:rPr lang="fr-FR" sz="1400" baseline="0">
              <a:solidFill>
                <a:schemeClr val="tx1"/>
              </a:solidFill>
            </a:rPr>
            <a:t>1l/s=0,001m</a:t>
          </a:r>
          <a:r>
            <a:rPr lang="fr-FR" sz="1400" baseline="30000">
              <a:solidFill>
                <a:schemeClr val="tx1"/>
              </a:solidFill>
            </a:rPr>
            <a:t>3</a:t>
          </a:r>
          <a:r>
            <a:rPr lang="fr-FR" sz="1400" baseline="0">
              <a:solidFill>
                <a:schemeClr val="tx1"/>
              </a:solidFill>
            </a:rPr>
            <a:t>/s</a:t>
          </a:r>
          <a:endParaRPr lang="fr-FR"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47625</xdr:rowOff>
    </xdr:from>
    <xdr:to>
      <xdr:col>4</xdr:col>
      <xdr:colOff>523875</xdr:colOff>
      <xdr:row>5</xdr:row>
      <xdr:rowOff>219075</xdr:rowOff>
    </xdr:to>
    <xdr:sp macro="" textlink="">
      <xdr:nvSpPr>
        <xdr:cNvPr id="2" name="Texte 1"/>
        <xdr:cNvSpPr>
          <a:spLocks noChangeArrowheads="1"/>
        </xdr:cNvSpPr>
      </xdr:nvSpPr>
      <xdr:spPr bwMode="auto">
        <a:xfrm>
          <a:off x="28575" y="1000125"/>
          <a:ext cx="2651760" cy="39243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0" anchor="t" upright="1"/>
        <a:lstStyle/>
        <a:p>
          <a:pPr algn="ctr" rtl="0">
            <a:defRPr sz="1000"/>
          </a:pPr>
          <a:r>
            <a:rPr lang="fr-FR" sz="1000" b="0" i="0" u="none" strike="noStrike" baseline="0">
              <a:solidFill>
                <a:srgbClr val="000000"/>
              </a:solidFill>
              <a:latin typeface="Arial"/>
              <a:cs typeface="Arial"/>
            </a:rPr>
            <a:t>Tableau n°1 : Intensité des pluies de durée t  pour la région I</a:t>
          </a:r>
        </a:p>
      </xdr:txBody>
    </xdr:sp>
    <xdr:clientData/>
  </xdr:twoCellAnchor>
  <xdr:twoCellAnchor>
    <xdr:from>
      <xdr:col>7</xdr:col>
      <xdr:colOff>38100</xdr:colOff>
      <xdr:row>4</xdr:row>
      <xdr:rowOff>28575</xdr:rowOff>
    </xdr:from>
    <xdr:to>
      <xdr:col>11</xdr:col>
      <xdr:colOff>523875</xdr:colOff>
      <xdr:row>5</xdr:row>
      <xdr:rowOff>190500</xdr:rowOff>
    </xdr:to>
    <xdr:sp macro="" textlink="">
      <xdr:nvSpPr>
        <xdr:cNvPr id="3" name="Texte 6"/>
        <xdr:cNvSpPr>
          <a:spLocks noChangeArrowheads="1"/>
        </xdr:cNvSpPr>
      </xdr:nvSpPr>
      <xdr:spPr bwMode="auto">
        <a:xfrm>
          <a:off x="4206240" y="981075"/>
          <a:ext cx="2672715" cy="38290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n°2 : Hauteur d'eau précipitée pour des pluies de durée t</a:t>
          </a:r>
        </a:p>
      </xdr:txBody>
    </xdr:sp>
    <xdr:clientData/>
  </xdr:twoCellAnchor>
  <xdr:twoCellAnchor>
    <xdr:from>
      <xdr:col>14</xdr:col>
      <xdr:colOff>38100</xdr:colOff>
      <xdr:row>4</xdr:row>
      <xdr:rowOff>38100</xdr:rowOff>
    </xdr:from>
    <xdr:to>
      <xdr:col>18</xdr:col>
      <xdr:colOff>523875</xdr:colOff>
      <xdr:row>5</xdr:row>
      <xdr:rowOff>200025</xdr:rowOff>
    </xdr:to>
    <xdr:sp macro="" textlink="">
      <xdr:nvSpPr>
        <xdr:cNvPr id="4" name="Texte 7"/>
        <xdr:cNvSpPr>
          <a:spLocks noChangeArrowheads="1"/>
        </xdr:cNvSpPr>
      </xdr:nvSpPr>
      <xdr:spPr bwMode="auto">
        <a:xfrm>
          <a:off x="7833360" y="990600"/>
          <a:ext cx="2710815" cy="38290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n°3 : Volume précipité pour des pluies de durée t par rapport à la surface active</a:t>
          </a:r>
        </a:p>
      </xdr:txBody>
    </xdr:sp>
    <xdr:clientData/>
  </xdr:twoCellAnchor>
  <xdr:twoCellAnchor>
    <xdr:from>
      <xdr:col>7</xdr:col>
      <xdr:colOff>38100</xdr:colOff>
      <xdr:row>22</xdr:row>
      <xdr:rowOff>38100</xdr:rowOff>
    </xdr:from>
    <xdr:to>
      <xdr:col>11</xdr:col>
      <xdr:colOff>523875</xdr:colOff>
      <xdr:row>24</xdr:row>
      <xdr:rowOff>104775</xdr:rowOff>
    </xdr:to>
    <xdr:sp macro="" textlink="">
      <xdr:nvSpPr>
        <xdr:cNvPr id="5" name="Texte 8"/>
        <xdr:cNvSpPr>
          <a:spLocks noChangeArrowheads="1"/>
        </xdr:cNvSpPr>
      </xdr:nvSpPr>
      <xdr:spPr bwMode="auto">
        <a:xfrm>
          <a:off x="4206240" y="4191000"/>
          <a:ext cx="2672715" cy="40195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n°5 : Différence entre le volume précipité et le volume évacué</a:t>
          </a:r>
        </a:p>
      </xdr:txBody>
    </xdr:sp>
    <xdr:clientData/>
  </xdr:twoCellAnchor>
  <xdr:twoCellAnchor>
    <xdr:from>
      <xdr:col>0</xdr:col>
      <xdr:colOff>314325</xdr:colOff>
      <xdr:row>22</xdr:row>
      <xdr:rowOff>47625</xdr:rowOff>
    </xdr:from>
    <xdr:to>
      <xdr:col>3</xdr:col>
      <xdr:colOff>533400</xdr:colOff>
      <xdr:row>25</xdr:row>
      <xdr:rowOff>28575</xdr:rowOff>
    </xdr:to>
    <xdr:sp macro="" textlink="">
      <xdr:nvSpPr>
        <xdr:cNvPr id="6" name="Texte 9"/>
        <xdr:cNvSpPr>
          <a:spLocks noChangeArrowheads="1"/>
        </xdr:cNvSpPr>
      </xdr:nvSpPr>
      <xdr:spPr bwMode="auto">
        <a:xfrm>
          <a:off x="314325" y="4200525"/>
          <a:ext cx="1811655" cy="53721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n°4 : Volume évacué par la parcelle en fonction du débit de fuite</a:t>
          </a:r>
        </a:p>
      </xdr:txBody>
    </xdr:sp>
    <xdr:clientData/>
  </xdr:twoCellAnchor>
  <xdr:twoCellAnchor>
    <xdr:from>
      <xdr:col>9</xdr:col>
      <xdr:colOff>9525</xdr:colOff>
      <xdr:row>0</xdr:row>
      <xdr:rowOff>104775</xdr:rowOff>
    </xdr:from>
    <xdr:to>
      <xdr:col>18</xdr:col>
      <xdr:colOff>304800</xdr:colOff>
      <xdr:row>2</xdr:row>
      <xdr:rowOff>238125</xdr:rowOff>
    </xdr:to>
    <xdr:sp macro="" textlink="">
      <xdr:nvSpPr>
        <xdr:cNvPr id="7" name="Texte 10"/>
        <xdr:cNvSpPr txBox="1">
          <a:spLocks noChangeArrowheads="1"/>
        </xdr:cNvSpPr>
      </xdr:nvSpPr>
      <xdr:spPr bwMode="auto">
        <a:xfrm>
          <a:off x="5236845" y="104775"/>
          <a:ext cx="5088255" cy="6210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45720" rIns="36576" bIns="0" anchor="t" upright="1"/>
        <a:lstStyle/>
        <a:p>
          <a:pPr algn="ctr" rtl="0">
            <a:defRPr sz="1000"/>
          </a:pPr>
          <a:r>
            <a:rPr lang="fr-FR" sz="1400" b="1" i="1" u="none" strike="noStrike" baseline="0">
              <a:solidFill>
                <a:srgbClr val="000000"/>
              </a:solidFill>
              <a:latin typeface="Comic Sans MS"/>
            </a:rPr>
            <a:t>CALCUL DU VOLUME DE RETENTION D'UNE PARCELLE</a:t>
          </a:r>
        </a:p>
      </xdr:txBody>
    </xdr:sp>
    <xdr:clientData/>
  </xdr:twoCellAnchor>
  <xdr:twoCellAnchor>
    <xdr:from>
      <xdr:col>13</xdr:col>
      <xdr:colOff>276224</xdr:colOff>
      <xdr:row>27</xdr:row>
      <xdr:rowOff>104775</xdr:rowOff>
    </xdr:from>
    <xdr:to>
      <xdr:col>20</xdr:col>
      <xdr:colOff>12700</xdr:colOff>
      <xdr:row>38</xdr:row>
      <xdr:rowOff>152401</xdr:rowOff>
    </xdr:to>
    <xdr:sp macro="" textlink="" fLocksText="0">
      <xdr:nvSpPr>
        <xdr:cNvPr id="8" name="Texte 11"/>
        <xdr:cNvSpPr txBox="1">
          <a:spLocks noChangeArrowheads="1"/>
        </xdr:cNvSpPr>
      </xdr:nvSpPr>
      <xdr:spPr bwMode="auto">
        <a:xfrm>
          <a:off x="7759064" y="5210175"/>
          <a:ext cx="3462656" cy="1891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41148" rIns="36576" bIns="0" anchor="t" upright="1"/>
        <a:lstStyle/>
        <a:p>
          <a:pPr algn="ctr" rtl="0">
            <a:defRPr sz="1000"/>
          </a:pPr>
          <a:r>
            <a:rPr lang="fr-FR" sz="1200" b="0" i="0" u="sng" strike="noStrike" baseline="0">
              <a:solidFill>
                <a:srgbClr val="000000"/>
              </a:solidFill>
              <a:latin typeface="Comic Sans MS"/>
            </a:rPr>
            <a:t>PROJET :</a:t>
          </a:r>
          <a:endParaRPr lang="fr-FR" sz="1200" b="0" i="0" u="none" strike="noStrike" baseline="0">
            <a:solidFill>
              <a:srgbClr val="000000"/>
            </a:solidFill>
            <a:latin typeface="Comic Sans MS"/>
          </a:endParaRPr>
        </a:p>
        <a:p>
          <a:pPr algn="ctr" rtl="0">
            <a:defRPr sz="1000"/>
          </a:pPr>
          <a:endParaRPr lang="fr-FR" sz="1200" b="0" i="0" u="none" strike="noStrike" baseline="0">
            <a:solidFill>
              <a:srgbClr val="000000"/>
            </a:solidFill>
            <a:latin typeface="Comic Sans MS"/>
          </a:endParaRPr>
        </a:p>
        <a:p>
          <a:pPr algn="ctr" rtl="0">
            <a:defRPr sz="1000"/>
          </a:pPr>
          <a:endParaRPr lang="fr-FR" sz="1200" b="0" i="0" u="none" strike="noStrike" baseline="0">
            <a:solidFill>
              <a:srgbClr val="000000"/>
            </a:solidFill>
            <a:latin typeface="Comic Sans MS"/>
          </a:endParaRPr>
        </a:p>
      </xdr:txBody>
    </xdr:sp>
    <xdr:clientData fLocksWithSheet="0"/>
  </xdr:twoCellAnchor>
  <xdr:twoCellAnchor>
    <xdr:from>
      <xdr:col>20</xdr:col>
      <xdr:colOff>558800</xdr:colOff>
      <xdr:row>17</xdr:row>
      <xdr:rowOff>88900</xdr:rowOff>
    </xdr:from>
    <xdr:to>
      <xdr:col>25</xdr:col>
      <xdr:colOff>88900</xdr:colOff>
      <xdr:row>24</xdr:row>
      <xdr:rowOff>152400</xdr:rowOff>
    </xdr:to>
    <xdr:sp macro="" textlink="">
      <xdr:nvSpPr>
        <xdr:cNvPr id="9" name="ZoneTexte 8"/>
        <xdr:cNvSpPr txBox="1"/>
      </xdr:nvSpPr>
      <xdr:spPr>
        <a:xfrm>
          <a:off x="11767820" y="3403600"/>
          <a:ext cx="4757420" cy="1236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a:solidFill>
                <a:srgbClr val="92D050"/>
              </a:solidFill>
            </a:rPr>
            <a:t>Saisir les surfaces en</a:t>
          </a:r>
          <a:r>
            <a:rPr lang="fr-FR" sz="1800" baseline="0">
              <a:solidFill>
                <a:srgbClr val="92D050"/>
              </a:solidFill>
            </a:rPr>
            <a:t> m² </a:t>
          </a:r>
          <a:r>
            <a:rPr lang="fr-FR" sz="1800" baseline="0">
              <a:solidFill>
                <a:schemeClr val="tx1"/>
              </a:solidFill>
            </a:rPr>
            <a:t>du projet selon le type d'occupation du sol et le</a:t>
          </a:r>
          <a:r>
            <a:rPr lang="fr-FR" sz="1800" baseline="0">
              <a:solidFill>
                <a:srgbClr val="FF0000"/>
              </a:solidFill>
            </a:rPr>
            <a:t> </a:t>
          </a:r>
          <a:r>
            <a:rPr lang="fr-FR" sz="1800" baseline="0">
              <a:solidFill>
                <a:srgbClr val="00B0F0"/>
              </a:solidFill>
            </a:rPr>
            <a:t>débit de fuite en m3/s</a:t>
          </a:r>
        </a:p>
        <a:p>
          <a:r>
            <a:rPr lang="fr-FR" sz="1400" baseline="0">
              <a:solidFill>
                <a:schemeClr val="tx1"/>
              </a:solidFill>
            </a:rPr>
            <a:t>1m</a:t>
          </a:r>
          <a:r>
            <a:rPr lang="fr-FR" sz="1400" baseline="30000">
              <a:solidFill>
                <a:schemeClr val="tx1"/>
              </a:solidFill>
            </a:rPr>
            <a:t>3</a:t>
          </a:r>
          <a:r>
            <a:rPr lang="fr-FR" sz="1400" baseline="0">
              <a:solidFill>
                <a:schemeClr val="tx1"/>
              </a:solidFill>
            </a:rPr>
            <a:t>/s=1000l/s</a:t>
          </a:r>
        </a:p>
        <a:p>
          <a:r>
            <a:rPr lang="fr-FR" sz="1400" baseline="0">
              <a:solidFill>
                <a:schemeClr val="tx1"/>
              </a:solidFill>
            </a:rPr>
            <a:t>1l/s=0,001m</a:t>
          </a:r>
          <a:r>
            <a:rPr lang="fr-FR" sz="1400" baseline="30000">
              <a:solidFill>
                <a:schemeClr val="tx1"/>
              </a:solidFill>
            </a:rPr>
            <a:t>3</a:t>
          </a:r>
          <a:r>
            <a:rPr lang="fr-FR" sz="1400" baseline="0">
              <a:solidFill>
                <a:schemeClr val="tx1"/>
              </a:solidFill>
            </a:rPr>
            <a:t>/s</a:t>
          </a:r>
          <a:endParaRPr lang="fr-FR" sz="14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47625</xdr:rowOff>
    </xdr:from>
    <xdr:to>
      <xdr:col>4</xdr:col>
      <xdr:colOff>523875</xdr:colOff>
      <xdr:row>5</xdr:row>
      <xdr:rowOff>219075</xdr:rowOff>
    </xdr:to>
    <xdr:sp macro="" textlink="">
      <xdr:nvSpPr>
        <xdr:cNvPr id="2" name="Texte 1"/>
        <xdr:cNvSpPr>
          <a:spLocks noChangeArrowheads="1"/>
        </xdr:cNvSpPr>
      </xdr:nvSpPr>
      <xdr:spPr bwMode="auto">
        <a:xfrm>
          <a:off x="28575" y="1000125"/>
          <a:ext cx="2651760" cy="39243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0" anchor="t" upright="1"/>
        <a:lstStyle/>
        <a:p>
          <a:pPr algn="ctr" rtl="0">
            <a:defRPr sz="1000"/>
          </a:pPr>
          <a:r>
            <a:rPr lang="fr-FR" sz="1000" b="0" i="0" u="none" strike="noStrike" baseline="0">
              <a:solidFill>
                <a:srgbClr val="000000"/>
              </a:solidFill>
              <a:latin typeface="Arial"/>
              <a:cs typeface="Arial"/>
            </a:rPr>
            <a:t>Tableau n°1 : Intensité des pluies de durée t  pour la région I</a:t>
          </a:r>
        </a:p>
      </xdr:txBody>
    </xdr:sp>
    <xdr:clientData/>
  </xdr:twoCellAnchor>
  <xdr:twoCellAnchor>
    <xdr:from>
      <xdr:col>7</xdr:col>
      <xdr:colOff>38100</xdr:colOff>
      <xdr:row>4</xdr:row>
      <xdr:rowOff>28575</xdr:rowOff>
    </xdr:from>
    <xdr:to>
      <xdr:col>11</xdr:col>
      <xdr:colOff>523875</xdr:colOff>
      <xdr:row>5</xdr:row>
      <xdr:rowOff>190500</xdr:rowOff>
    </xdr:to>
    <xdr:sp macro="" textlink="">
      <xdr:nvSpPr>
        <xdr:cNvPr id="3" name="Texte 6"/>
        <xdr:cNvSpPr>
          <a:spLocks noChangeArrowheads="1"/>
        </xdr:cNvSpPr>
      </xdr:nvSpPr>
      <xdr:spPr bwMode="auto">
        <a:xfrm>
          <a:off x="4206240" y="981075"/>
          <a:ext cx="2672715" cy="38290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n°2 : Hauteur d'eau précipitée pour des pluies de durée t</a:t>
          </a:r>
        </a:p>
      </xdr:txBody>
    </xdr:sp>
    <xdr:clientData/>
  </xdr:twoCellAnchor>
  <xdr:twoCellAnchor>
    <xdr:from>
      <xdr:col>14</xdr:col>
      <xdr:colOff>38100</xdr:colOff>
      <xdr:row>4</xdr:row>
      <xdr:rowOff>38100</xdr:rowOff>
    </xdr:from>
    <xdr:to>
      <xdr:col>18</xdr:col>
      <xdr:colOff>523875</xdr:colOff>
      <xdr:row>5</xdr:row>
      <xdr:rowOff>200025</xdr:rowOff>
    </xdr:to>
    <xdr:sp macro="" textlink="">
      <xdr:nvSpPr>
        <xdr:cNvPr id="4" name="Texte 7"/>
        <xdr:cNvSpPr>
          <a:spLocks noChangeArrowheads="1"/>
        </xdr:cNvSpPr>
      </xdr:nvSpPr>
      <xdr:spPr bwMode="auto">
        <a:xfrm>
          <a:off x="7833360" y="990600"/>
          <a:ext cx="2710815" cy="38290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n°3 : Volume précipité pour des pluies de durée t par rapport à la surface active</a:t>
          </a:r>
        </a:p>
      </xdr:txBody>
    </xdr:sp>
    <xdr:clientData/>
  </xdr:twoCellAnchor>
  <xdr:twoCellAnchor>
    <xdr:from>
      <xdr:col>7</xdr:col>
      <xdr:colOff>38100</xdr:colOff>
      <xdr:row>22</xdr:row>
      <xdr:rowOff>38100</xdr:rowOff>
    </xdr:from>
    <xdr:to>
      <xdr:col>11</xdr:col>
      <xdr:colOff>523875</xdr:colOff>
      <xdr:row>24</xdr:row>
      <xdr:rowOff>104775</xdr:rowOff>
    </xdr:to>
    <xdr:sp macro="" textlink="">
      <xdr:nvSpPr>
        <xdr:cNvPr id="5" name="Texte 8"/>
        <xdr:cNvSpPr>
          <a:spLocks noChangeArrowheads="1"/>
        </xdr:cNvSpPr>
      </xdr:nvSpPr>
      <xdr:spPr bwMode="auto">
        <a:xfrm>
          <a:off x="4206240" y="4191000"/>
          <a:ext cx="2672715" cy="40195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n°5 : Différence entre le volume précipité et le volume évacué</a:t>
          </a:r>
        </a:p>
      </xdr:txBody>
    </xdr:sp>
    <xdr:clientData/>
  </xdr:twoCellAnchor>
  <xdr:twoCellAnchor>
    <xdr:from>
      <xdr:col>0</xdr:col>
      <xdr:colOff>314325</xdr:colOff>
      <xdr:row>22</xdr:row>
      <xdr:rowOff>47625</xdr:rowOff>
    </xdr:from>
    <xdr:to>
      <xdr:col>3</xdr:col>
      <xdr:colOff>533400</xdr:colOff>
      <xdr:row>25</xdr:row>
      <xdr:rowOff>28575</xdr:rowOff>
    </xdr:to>
    <xdr:sp macro="" textlink="">
      <xdr:nvSpPr>
        <xdr:cNvPr id="6" name="Texte 9"/>
        <xdr:cNvSpPr>
          <a:spLocks noChangeArrowheads="1"/>
        </xdr:cNvSpPr>
      </xdr:nvSpPr>
      <xdr:spPr bwMode="auto">
        <a:xfrm>
          <a:off x="314325" y="4200525"/>
          <a:ext cx="1811655" cy="53721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fr-FR" sz="1000" b="0" i="0" u="none" strike="noStrike" baseline="0">
              <a:solidFill>
                <a:srgbClr val="000000"/>
              </a:solidFill>
              <a:latin typeface="Arial"/>
              <a:cs typeface="Arial"/>
            </a:rPr>
            <a:t>Tableau n°4 : Volume évacué par la parcelle en fonction du débit de fuite</a:t>
          </a:r>
        </a:p>
      </xdr:txBody>
    </xdr:sp>
    <xdr:clientData/>
  </xdr:twoCellAnchor>
  <xdr:twoCellAnchor>
    <xdr:from>
      <xdr:col>9</xdr:col>
      <xdr:colOff>9525</xdr:colOff>
      <xdr:row>0</xdr:row>
      <xdr:rowOff>104775</xdr:rowOff>
    </xdr:from>
    <xdr:to>
      <xdr:col>18</xdr:col>
      <xdr:colOff>304800</xdr:colOff>
      <xdr:row>2</xdr:row>
      <xdr:rowOff>238125</xdr:rowOff>
    </xdr:to>
    <xdr:sp macro="" textlink="">
      <xdr:nvSpPr>
        <xdr:cNvPr id="7" name="Texte 10"/>
        <xdr:cNvSpPr txBox="1">
          <a:spLocks noChangeArrowheads="1"/>
        </xdr:cNvSpPr>
      </xdr:nvSpPr>
      <xdr:spPr bwMode="auto">
        <a:xfrm>
          <a:off x="5236845" y="104775"/>
          <a:ext cx="5088255" cy="6210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45720" rIns="36576" bIns="0" anchor="t" upright="1"/>
        <a:lstStyle/>
        <a:p>
          <a:pPr algn="ctr" rtl="0">
            <a:defRPr sz="1000"/>
          </a:pPr>
          <a:r>
            <a:rPr lang="fr-FR" sz="1400" b="1" i="1" u="none" strike="noStrike" baseline="0">
              <a:solidFill>
                <a:srgbClr val="000000"/>
              </a:solidFill>
              <a:latin typeface="Comic Sans MS"/>
            </a:rPr>
            <a:t>CALCUL DU VOLUME DE RETENTION D'UNE PARCELLE</a:t>
          </a:r>
        </a:p>
      </xdr:txBody>
    </xdr:sp>
    <xdr:clientData/>
  </xdr:twoCellAnchor>
  <xdr:twoCellAnchor>
    <xdr:from>
      <xdr:col>13</xdr:col>
      <xdr:colOff>276224</xdr:colOff>
      <xdr:row>27</xdr:row>
      <xdr:rowOff>104775</xdr:rowOff>
    </xdr:from>
    <xdr:to>
      <xdr:col>20</xdr:col>
      <xdr:colOff>12700</xdr:colOff>
      <xdr:row>38</xdr:row>
      <xdr:rowOff>152401</xdr:rowOff>
    </xdr:to>
    <xdr:sp macro="" textlink="" fLocksText="0">
      <xdr:nvSpPr>
        <xdr:cNvPr id="8" name="Texte 11"/>
        <xdr:cNvSpPr txBox="1">
          <a:spLocks noChangeArrowheads="1"/>
        </xdr:cNvSpPr>
      </xdr:nvSpPr>
      <xdr:spPr bwMode="auto">
        <a:xfrm>
          <a:off x="7759064" y="5210175"/>
          <a:ext cx="3462656" cy="1891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41148" rIns="36576" bIns="0" anchor="t" upright="1"/>
        <a:lstStyle/>
        <a:p>
          <a:pPr algn="ctr" rtl="0">
            <a:defRPr sz="1000"/>
          </a:pPr>
          <a:r>
            <a:rPr lang="fr-FR" sz="1200" b="0" i="0" u="sng" strike="noStrike" baseline="0">
              <a:solidFill>
                <a:srgbClr val="000000"/>
              </a:solidFill>
              <a:latin typeface="Comic Sans MS"/>
            </a:rPr>
            <a:t>PROJET :</a:t>
          </a:r>
          <a:endParaRPr lang="fr-FR" sz="1200" b="0" i="0" u="none" strike="noStrike" baseline="0">
            <a:solidFill>
              <a:srgbClr val="000000"/>
            </a:solidFill>
            <a:latin typeface="Comic Sans MS"/>
          </a:endParaRPr>
        </a:p>
        <a:p>
          <a:pPr algn="ctr" rtl="0">
            <a:defRPr sz="1000"/>
          </a:pPr>
          <a:endParaRPr lang="fr-FR" sz="1200" b="0" i="0" u="none" strike="noStrike" baseline="0">
            <a:solidFill>
              <a:srgbClr val="000000"/>
            </a:solidFill>
            <a:latin typeface="Comic Sans MS"/>
          </a:endParaRPr>
        </a:p>
        <a:p>
          <a:pPr algn="ctr" rtl="0">
            <a:defRPr sz="1000"/>
          </a:pPr>
          <a:endParaRPr lang="fr-FR" sz="1200" b="0" i="0" u="none" strike="noStrike" baseline="0">
            <a:solidFill>
              <a:srgbClr val="000000"/>
            </a:solidFill>
            <a:latin typeface="Comic Sans MS"/>
          </a:endParaRPr>
        </a:p>
      </xdr:txBody>
    </xdr:sp>
    <xdr:clientData fLocksWithSheet="0"/>
  </xdr:twoCellAnchor>
  <xdr:twoCellAnchor>
    <xdr:from>
      <xdr:col>20</xdr:col>
      <xdr:colOff>558800</xdr:colOff>
      <xdr:row>17</xdr:row>
      <xdr:rowOff>88900</xdr:rowOff>
    </xdr:from>
    <xdr:to>
      <xdr:col>25</xdr:col>
      <xdr:colOff>88900</xdr:colOff>
      <xdr:row>24</xdr:row>
      <xdr:rowOff>152400</xdr:rowOff>
    </xdr:to>
    <xdr:sp macro="" textlink="">
      <xdr:nvSpPr>
        <xdr:cNvPr id="9" name="ZoneTexte 8"/>
        <xdr:cNvSpPr txBox="1"/>
      </xdr:nvSpPr>
      <xdr:spPr>
        <a:xfrm>
          <a:off x="11767820" y="3403600"/>
          <a:ext cx="4757420" cy="1236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a:solidFill>
                <a:srgbClr val="92D050"/>
              </a:solidFill>
            </a:rPr>
            <a:t>Saisir les surfaces en</a:t>
          </a:r>
          <a:r>
            <a:rPr lang="fr-FR" sz="1800" baseline="0">
              <a:solidFill>
                <a:srgbClr val="92D050"/>
              </a:solidFill>
            </a:rPr>
            <a:t> m² </a:t>
          </a:r>
          <a:r>
            <a:rPr lang="fr-FR" sz="1800" baseline="0">
              <a:solidFill>
                <a:schemeClr val="tx1"/>
              </a:solidFill>
            </a:rPr>
            <a:t>du projet selon le type d'occupation du sol et le</a:t>
          </a:r>
          <a:r>
            <a:rPr lang="fr-FR" sz="1800" baseline="0">
              <a:solidFill>
                <a:srgbClr val="FF0000"/>
              </a:solidFill>
            </a:rPr>
            <a:t> </a:t>
          </a:r>
          <a:r>
            <a:rPr lang="fr-FR" sz="1800" baseline="0">
              <a:solidFill>
                <a:srgbClr val="00B0F0"/>
              </a:solidFill>
            </a:rPr>
            <a:t>débit de fuite en m3/s</a:t>
          </a:r>
        </a:p>
        <a:p>
          <a:r>
            <a:rPr lang="fr-FR" sz="1400" baseline="0">
              <a:solidFill>
                <a:schemeClr val="tx1"/>
              </a:solidFill>
            </a:rPr>
            <a:t>1m</a:t>
          </a:r>
          <a:r>
            <a:rPr lang="fr-FR" sz="1400" baseline="30000">
              <a:solidFill>
                <a:schemeClr val="tx1"/>
              </a:solidFill>
            </a:rPr>
            <a:t>3</a:t>
          </a:r>
          <a:r>
            <a:rPr lang="fr-FR" sz="1400" baseline="0">
              <a:solidFill>
                <a:schemeClr val="tx1"/>
              </a:solidFill>
            </a:rPr>
            <a:t>/s=1000l/s</a:t>
          </a:r>
        </a:p>
        <a:p>
          <a:r>
            <a:rPr lang="fr-FR" sz="1400" baseline="0">
              <a:solidFill>
                <a:schemeClr val="tx1"/>
              </a:solidFill>
            </a:rPr>
            <a:t>1l/s=0,001m</a:t>
          </a:r>
          <a:r>
            <a:rPr lang="fr-FR" sz="1400" baseline="30000">
              <a:solidFill>
                <a:schemeClr val="tx1"/>
              </a:solidFill>
            </a:rPr>
            <a:t>3</a:t>
          </a:r>
          <a:r>
            <a:rPr lang="fr-FR" sz="1400" baseline="0">
              <a:solidFill>
                <a:schemeClr val="tx1"/>
              </a:solidFill>
            </a:rPr>
            <a:t>/s</a:t>
          </a:r>
          <a:endParaRPr lang="fr-FR" sz="14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80299</xdr:colOff>
      <xdr:row>2</xdr:row>
      <xdr:rowOff>34394</xdr:rowOff>
    </xdr:from>
    <xdr:to>
      <xdr:col>23</xdr:col>
      <xdr:colOff>197775</xdr:colOff>
      <xdr:row>39</xdr:row>
      <xdr:rowOff>145521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381000</xdr:colOff>
      <xdr:row>11</xdr:row>
      <xdr:rowOff>107156</xdr:rowOff>
    </xdr:from>
    <xdr:to>
      <xdr:col>31</xdr:col>
      <xdr:colOff>381000</xdr:colOff>
      <xdr:row>19</xdr:row>
      <xdr:rowOff>95250</xdr:rowOff>
    </xdr:to>
    <xdr:sp macro="" textlink="">
      <xdr:nvSpPr>
        <xdr:cNvPr id="4" name="ZoneTexte 3"/>
        <xdr:cNvSpPr txBox="1"/>
      </xdr:nvSpPr>
      <xdr:spPr>
        <a:xfrm>
          <a:off x="14478000" y="2583656"/>
          <a:ext cx="3643313" cy="15120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FF0000"/>
              </a:solidFill>
            </a:rPr>
            <a:t>Onglet à utiliser si l'onglet méth pluie 0-2H donne un volume maxi pour t=2 heures</a:t>
          </a:r>
        </a:p>
        <a:p>
          <a:pPr algn="ctr"/>
          <a:endParaRPr lang="fr-FR" sz="1800">
            <a:solidFill>
              <a:srgbClr val="FF0000"/>
            </a:solidFill>
          </a:endParaRPr>
        </a:p>
        <a:p>
          <a:pPr algn="ctr"/>
          <a:r>
            <a:rPr lang="fr-FR" sz="1800" u="sng">
              <a:solidFill>
                <a:srgbClr val="FF0000"/>
              </a:solidFill>
            </a:rPr>
            <a:t>rien à saisir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sheetPr>
  <dimension ref="A1:H32"/>
  <sheetViews>
    <sheetView tabSelected="1" topLeftCell="A3" zoomScaleNormal="100" workbookViewId="0">
      <selection activeCell="A7" sqref="A7"/>
    </sheetView>
  </sheetViews>
  <sheetFormatPr baseColWidth="10" defaultColWidth="11.44140625" defaultRowHeight="13.8" x14ac:dyDescent="0.3"/>
  <cols>
    <col min="1" max="1" width="111.44140625" style="271" customWidth="1"/>
    <col min="2" max="2" width="18.5546875" style="271" customWidth="1"/>
    <col min="3" max="6" width="11.44140625" style="271"/>
    <col min="7" max="7" width="11.44140625" style="271" customWidth="1"/>
    <col min="8" max="8" width="27.88671875" style="271" customWidth="1"/>
    <col min="9" max="9" width="48.6640625" style="271" customWidth="1"/>
    <col min="10" max="16384" width="11.44140625" style="271"/>
  </cols>
  <sheetData>
    <row r="1" spans="1:8" ht="36.75" customHeight="1" x14ac:dyDescent="0.3">
      <c r="A1" s="268" t="s">
        <v>143</v>
      </c>
      <c r="B1" s="268"/>
      <c r="C1" s="268"/>
      <c r="D1" s="268"/>
      <c r="E1" s="268"/>
      <c r="F1" s="268"/>
      <c r="G1" s="268"/>
      <c r="H1" s="268"/>
    </row>
    <row r="2" spans="1:8" ht="13.95" customHeight="1" x14ac:dyDescent="0.3"/>
    <row r="3" spans="1:8" ht="30" customHeight="1" x14ac:dyDescent="0.3">
      <c r="A3" s="269" t="s">
        <v>144</v>
      </c>
    </row>
    <row r="4" spans="1:8" ht="39" customHeight="1" x14ac:dyDescent="0.3">
      <c r="A4" s="272" t="s">
        <v>146</v>
      </c>
      <c r="B4" s="272"/>
      <c r="C4" s="272"/>
      <c r="D4" s="272"/>
      <c r="E4" s="272"/>
      <c r="F4" s="272"/>
      <c r="G4" s="272"/>
      <c r="H4" s="272"/>
    </row>
    <row r="5" spans="1:8" ht="24" customHeight="1" x14ac:dyDescent="0.3">
      <c r="A5" s="272" t="s">
        <v>147</v>
      </c>
      <c r="B5" s="272"/>
      <c r="C5" s="272"/>
      <c r="D5" s="272"/>
      <c r="E5" s="272"/>
      <c r="F5" s="272"/>
      <c r="G5" s="272"/>
      <c r="H5" s="272"/>
    </row>
    <row r="6" spans="1:8" ht="53.4" customHeight="1" x14ac:dyDescent="0.3">
      <c r="A6" s="275" t="s">
        <v>148</v>
      </c>
      <c r="B6" s="277"/>
      <c r="C6" s="275"/>
      <c r="D6" s="275"/>
      <c r="E6" s="275"/>
      <c r="F6" s="275"/>
      <c r="G6" s="275"/>
      <c r="H6" s="275"/>
    </row>
    <row r="7" spans="1:8" ht="62.25" customHeight="1" x14ac:dyDescent="0.3">
      <c r="A7" s="272" t="s">
        <v>155</v>
      </c>
      <c r="B7" s="272"/>
      <c r="C7" s="272"/>
      <c r="D7" s="272"/>
      <c r="E7" s="272"/>
      <c r="F7" s="272"/>
      <c r="G7" s="272"/>
      <c r="H7" s="272"/>
    </row>
    <row r="8" spans="1:8" ht="76.2" customHeight="1" x14ac:dyDescent="0.3">
      <c r="A8" s="272" t="s">
        <v>149</v>
      </c>
      <c r="B8" s="272"/>
      <c r="C8" s="272"/>
      <c r="D8" s="272"/>
      <c r="E8" s="272"/>
      <c r="F8" s="272"/>
      <c r="G8" s="272"/>
      <c r="H8" s="272"/>
    </row>
    <row r="9" spans="1:8" ht="13.95" customHeight="1" x14ac:dyDescent="0.3"/>
    <row r="10" spans="1:8" ht="30" customHeight="1" x14ac:dyDescent="0.3">
      <c r="A10" s="270" t="s">
        <v>145</v>
      </c>
    </row>
    <row r="11" spans="1:8" ht="42" customHeight="1" x14ac:dyDescent="0.3">
      <c r="A11" s="272" t="s">
        <v>156</v>
      </c>
      <c r="B11" s="272"/>
      <c r="C11" s="272"/>
      <c r="D11" s="272"/>
      <c r="E11" s="272"/>
      <c r="F11" s="272"/>
      <c r="G11" s="272"/>
      <c r="H11" s="272"/>
    </row>
    <row r="12" spans="1:8" ht="30.6" customHeight="1" x14ac:dyDescent="0.3">
      <c r="A12" s="272" t="s">
        <v>150</v>
      </c>
      <c r="B12" s="272"/>
      <c r="C12" s="272"/>
      <c r="D12" s="272"/>
      <c r="E12" s="272"/>
      <c r="F12" s="272"/>
      <c r="G12" s="272"/>
      <c r="H12" s="272"/>
    </row>
    <row r="13" spans="1:8" ht="38.4" customHeight="1" x14ac:dyDescent="0.3">
      <c r="A13" s="272" t="s">
        <v>157</v>
      </c>
      <c r="B13" s="272"/>
      <c r="C13" s="272"/>
      <c r="D13" s="272"/>
      <c r="E13" s="272"/>
      <c r="F13" s="272"/>
      <c r="G13" s="272"/>
      <c r="H13" s="272"/>
    </row>
    <row r="14" spans="1:8" ht="43.5" customHeight="1" x14ac:dyDescent="0.3">
      <c r="A14" s="272" t="s">
        <v>152</v>
      </c>
      <c r="B14" s="272"/>
      <c r="C14" s="272"/>
      <c r="D14" s="272"/>
      <c r="E14" s="272"/>
      <c r="F14" s="272"/>
      <c r="G14" s="272"/>
      <c r="H14" s="272"/>
    </row>
    <row r="15" spans="1:8" ht="13.95" customHeight="1" x14ac:dyDescent="0.3">
      <c r="A15" s="272"/>
      <c r="B15" s="272"/>
      <c r="C15" s="272"/>
      <c r="D15" s="272"/>
      <c r="E15" s="272"/>
      <c r="F15" s="272"/>
      <c r="G15" s="272"/>
      <c r="H15" s="272"/>
    </row>
    <row r="16" spans="1:8" ht="30" customHeight="1" x14ac:dyDescent="0.3">
      <c r="A16" s="270" t="s">
        <v>151</v>
      </c>
      <c r="B16" s="272"/>
      <c r="C16" s="272"/>
      <c r="D16" s="272"/>
      <c r="E16" s="272"/>
      <c r="F16" s="272"/>
      <c r="G16" s="272"/>
      <c r="H16" s="272"/>
    </row>
    <row r="17" spans="1:8" ht="35.4" customHeight="1" x14ac:dyDescent="0.3">
      <c r="A17" s="276" t="s">
        <v>158</v>
      </c>
      <c r="B17" s="276"/>
      <c r="C17" s="276"/>
      <c r="D17" s="276"/>
      <c r="E17" s="276"/>
      <c r="F17" s="276"/>
      <c r="G17" s="276"/>
      <c r="H17" s="276"/>
    </row>
    <row r="18" spans="1:8" ht="117" customHeight="1" x14ac:dyDescent="0.3">
      <c r="A18" s="276" t="s">
        <v>174</v>
      </c>
      <c r="B18" s="274"/>
      <c r="C18" s="274"/>
      <c r="D18" s="274"/>
      <c r="E18" s="274"/>
      <c r="F18" s="274"/>
      <c r="G18" s="274"/>
      <c r="H18" s="274"/>
    </row>
    <row r="19" spans="1:8" ht="153" customHeight="1" x14ac:dyDescent="0.3">
      <c r="A19" s="272" t="s">
        <v>161</v>
      </c>
      <c r="B19" s="274"/>
      <c r="C19" s="280"/>
      <c r="D19" s="274"/>
      <c r="E19" s="274"/>
      <c r="F19" s="274"/>
      <c r="G19" s="274"/>
      <c r="H19" s="274"/>
    </row>
    <row r="20" spans="1:8" ht="13.95" customHeight="1" x14ac:dyDescent="0.3">
      <c r="A20" s="270"/>
    </row>
    <row r="21" spans="1:8" ht="30" customHeight="1" x14ac:dyDescent="0.3">
      <c r="A21" s="270" t="s">
        <v>153</v>
      </c>
    </row>
    <row r="22" spans="1:8" ht="57.9" customHeight="1" x14ac:dyDescent="0.3">
      <c r="A22" s="273" t="s">
        <v>154</v>
      </c>
      <c r="B22" s="274"/>
      <c r="C22" s="273"/>
      <c r="D22" s="273"/>
      <c r="E22" s="273"/>
      <c r="F22" s="273"/>
      <c r="G22" s="273"/>
      <c r="H22" s="273"/>
    </row>
    <row r="24" spans="1:8" ht="24.9" customHeight="1" x14ac:dyDescent="0.3">
      <c r="B24" s="273"/>
      <c r="C24" s="273"/>
      <c r="D24" s="273"/>
      <c r="E24" s="273"/>
      <c r="F24" s="273"/>
      <c r="G24" s="273"/>
      <c r="H24" s="273"/>
    </row>
    <row r="25" spans="1:8" ht="24.9" customHeight="1" x14ac:dyDescent="0.3">
      <c r="B25" s="273"/>
      <c r="C25" s="273"/>
      <c r="D25" s="273"/>
      <c r="E25" s="273"/>
      <c r="F25" s="273"/>
      <c r="G25" s="273"/>
      <c r="H25" s="273"/>
    </row>
    <row r="26" spans="1:8" ht="24.9" customHeight="1" x14ac:dyDescent="0.3">
      <c r="A26" s="273"/>
      <c r="B26" s="273"/>
      <c r="C26" s="273"/>
      <c r="D26" s="273"/>
      <c r="E26" s="273"/>
      <c r="F26" s="273"/>
      <c r="G26" s="273"/>
      <c r="H26" s="273"/>
    </row>
    <row r="27" spans="1:8" ht="24.9" customHeight="1" x14ac:dyDescent="0.3">
      <c r="B27" s="273"/>
      <c r="C27" s="273"/>
      <c r="D27" s="273"/>
      <c r="E27" s="273"/>
      <c r="F27" s="273"/>
      <c r="G27" s="273"/>
      <c r="H27" s="273"/>
    </row>
    <row r="28" spans="1:8" ht="24.9" customHeight="1" x14ac:dyDescent="0.3">
      <c r="B28" s="273"/>
      <c r="C28" s="273"/>
      <c r="D28" s="273"/>
      <c r="E28" s="273"/>
      <c r="F28" s="273"/>
      <c r="G28" s="273"/>
      <c r="H28" s="273"/>
    </row>
    <row r="29" spans="1:8" ht="24.9" customHeight="1" x14ac:dyDescent="0.3">
      <c r="B29" s="273"/>
      <c r="C29" s="273"/>
      <c r="D29" s="273"/>
      <c r="E29" s="273"/>
      <c r="F29" s="273"/>
      <c r="G29" s="273"/>
      <c r="H29" s="273"/>
    </row>
    <row r="30" spans="1:8" ht="24.9" customHeight="1" x14ac:dyDescent="0.3">
      <c r="A30" s="273"/>
      <c r="B30" s="273"/>
      <c r="C30" s="273"/>
      <c r="D30" s="273"/>
      <c r="E30" s="273"/>
      <c r="F30" s="273"/>
      <c r="G30" s="273"/>
      <c r="H30" s="273"/>
    </row>
    <row r="31" spans="1:8" ht="33" customHeight="1" x14ac:dyDescent="0.3">
      <c r="B31" s="273"/>
      <c r="C31" s="273"/>
      <c r="D31" s="273"/>
      <c r="E31" s="273"/>
      <c r="F31" s="273"/>
      <c r="G31" s="273"/>
      <c r="H31" s="273"/>
    </row>
    <row r="32" spans="1:8" ht="49.5" customHeight="1" x14ac:dyDescent="0.3">
      <c r="B32" s="273"/>
      <c r="C32" s="273"/>
      <c r="D32" s="273"/>
      <c r="E32" s="273"/>
      <c r="F32" s="273"/>
      <c r="G32" s="273"/>
      <c r="H32" s="273"/>
    </row>
  </sheetData>
  <sheetProtection algorithmName="SHA-512" hashValue="3+lADY70xtZeqRQqwB5qdCYsPdzGryPMSCdokLD5GgzaQmCN+Ta23TJzbM7/w6JcQgyCxNus8RMPqiRaBmCzhw==" saltValue="HTQqFQ2aeSyHB+0pBixI9A==" spinCount="100000" sheet="1" objects="1" scenarios="1"/>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workbookViewId="0">
      <selection activeCell="D26" sqref="D26"/>
    </sheetView>
  </sheetViews>
  <sheetFormatPr baseColWidth="10" defaultRowHeight="13.2" x14ac:dyDescent="0.25"/>
  <cols>
    <col min="1" max="1" width="21.5546875" bestFit="1" customWidth="1"/>
  </cols>
  <sheetData>
    <row r="2" spans="1:6" x14ac:dyDescent="0.25">
      <c r="A2" t="s">
        <v>86</v>
      </c>
      <c r="B2" s="195">
        <v>50</v>
      </c>
      <c r="C2" t="s">
        <v>1</v>
      </c>
    </row>
    <row r="3" spans="1:6" x14ac:dyDescent="0.25">
      <c r="A3" t="s">
        <v>87</v>
      </c>
      <c r="B3" s="196">
        <v>9.9999999999999995E-7</v>
      </c>
      <c r="C3" t="s">
        <v>88</v>
      </c>
    </row>
    <row r="4" spans="1:6" x14ac:dyDescent="0.25">
      <c r="A4" s="189" t="s">
        <v>89</v>
      </c>
      <c r="B4" s="193">
        <f>B2*B3*1000</f>
        <v>4.9999999999999996E-2</v>
      </c>
      <c r="C4" s="189" t="s">
        <v>28</v>
      </c>
      <c r="D4">
        <f>B4*60/1000</f>
        <v>2.9999999999999996E-3</v>
      </c>
      <c r="E4" t="s">
        <v>94</v>
      </c>
      <c r="F4" s="197">
        <f>D4/B2</f>
        <v>5.9999999999999995E-5</v>
      </c>
    </row>
    <row r="5" spans="1:6" x14ac:dyDescent="0.25">
      <c r="A5" s="189" t="s">
        <v>90</v>
      </c>
      <c r="B5">
        <f>B4*2*3600/1000</f>
        <v>0.35999999999999993</v>
      </c>
      <c r="C5" s="189" t="s">
        <v>32</v>
      </c>
    </row>
    <row r="6" spans="1:6" x14ac:dyDescent="0.25">
      <c r="A6" s="189" t="s">
        <v>91</v>
      </c>
      <c r="B6" s="194">
        <f>'Feuill calcul Estimation V30'!S26</f>
        <v>0</v>
      </c>
      <c r="C6" s="189" t="s">
        <v>32</v>
      </c>
    </row>
    <row r="7" spans="1:6" x14ac:dyDescent="0.25">
      <c r="A7" s="189" t="s">
        <v>92</v>
      </c>
      <c r="B7" s="198">
        <f>B6/B2</f>
        <v>0</v>
      </c>
      <c r="C7" s="189" t="s">
        <v>93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0000"/>
  </sheetPr>
  <dimension ref="A1:W31"/>
  <sheetViews>
    <sheetView workbookViewId="0">
      <selection activeCell="S11" sqref="S11"/>
    </sheetView>
  </sheetViews>
  <sheetFormatPr baseColWidth="10" defaultRowHeight="13.2" x14ac:dyDescent="0.25"/>
  <cols>
    <col min="1" max="1" width="17.6640625" customWidth="1"/>
    <col min="2" max="3" width="10.109375" customWidth="1"/>
    <col min="4" max="4" width="10" customWidth="1"/>
    <col min="5" max="5" width="11.33203125" customWidth="1"/>
    <col min="6" max="7" width="10.44140625" customWidth="1"/>
  </cols>
  <sheetData>
    <row r="1" spans="1:23" ht="20.399999999999999" x14ac:dyDescent="0.35">
      <c r="A1" s="96" t="s">
        <v>18</v>
      </c>
      <c r="B1" s="97" t="s">
        <v>19</v>
      </c>
      <c r="C1" s="98"/>
      <c r="D1" s="97" t="s">
        <v>20</v>
      </c>
      <c r="E1" s="99" t="s">
        <v>21</v>
      </c>
      <c r="F1" s="99" t="s">
        <v>53</v>
      </c>
      <c r="G1" s="98"/>
      <c r="H1" s="100"/>
      <c r="J1" s="309" t="s">
        <v>35</v>
      </c>
      <c r="K1" s="309"/>
      <c r="L1" s="309"/>
      <c r="M1" s="309"/>
      <c r="N1" s="309"/>
      <c r="O1" s="309"/>
      <c r="P1" s="309"/>
      <c r="Q1" s="309"/>
      <c r="R1" s="309"/>
      <c r="S1" s="309"/>
      <c r="T1" s="309"/>
      <c r="U1" s="309"/>
      <c r="V1" s="309"/>
    </row>
    <row r="2" spans="1:23" ht="19.8" thickBot="1" x14ac:dyDescent="0.45">
      <c r="A2" s="101"/>
      <c r="B2" s="102" t="s">
        <v>22</v>
      </c>
      <c r="C2" s="103" t="s">
        <v>23</v>
      </c>
      <c r="D2" s="104"/>
      <c r="E2" s="105" t="s">
        <v>24</v>
      </c>
      <c r="F2" s="105" t="s">
        <v>25</v>
      </c>
      <c r="G2" s="103" t="s">
        <v>26</v>
      </c>
      <c r="H2" s="100"/>
      <c r="I2" s="48"/>
      <c r="J2" s="46" t="s">
        <v>36</v>
      </c>
      <c r="K2" s="46"/>
      <c r="L2" s="46"/>
      <c r="M2" s="46"/>
      <c r="N2" s="46"/>
      <c r="O2" s="47"/>
      <c r="P2" s="48"/>
      <c r="Q2" s="49" t="s">
        <v>37</v>
      </c>
      <c r="R2" s="50"/>
      <c r="S2" s="51" t="s">
        <v>38</v>
      </c>
      <c r="T2" s="52"/>
      <c r="U2" s="48"/>
      <c r="V2" s="48"/>
      <c r="W2" s="48"/>
    </row>
    <row r="3" spans="1:23" ht="15.6" thickBot="1" x14ac:dyDescent="0.3">
      <c r="A3" s="106" t="s">
        <v>13</v>
      </c>
      <c r="B3" s="107">
        <v>5.9</v>
      </c>
      <c r="C3" s="108">
        <v>-0.59</v>
      </c>
      <c r="D3" s="109">
        <v>1.43</v>
      </c>
      <c r="E3" s="110">
        <v>0.28999999999999998</v>
      </c>
      <c r="F3" s="111">
        <v>1.2</v>
      </c>
      <c r="G3" s="112">
        <v>0.78</v>
      </c>
      <c r="H3" s="100"/>
      <c r="I3" s="48"/>
      <c r="J3" s="46" t="s">
        <v>39</v>
      </c>
      <c r="K3" s="46"/>
      <c r="L3" s="46"/>
      <c r="P3" s="53" t="s">
        <v>40</v>
      </c>
      <c r="Q3" s="54" t="s">
        <v>41</v>
      </c>
      <c r="R3" s="55" t="s">
        <v>42</v>
      </c>
      <c r="S3" s="54" t="s">
        <v>41</v>
      </c>
      <c r="T3" s="55" t="s">
        <v>42</v>
      </c>
      <c r="W3" s="48"/>
    </row>
    <row r="4" spans="1:23" ht="15" x14ac:dyDescent="0.25">
      <c r="A4" s="113" t="s">
        <v>12</v>
      </c>
      <c r="B4" s="114">
        <v>5</v>
      </c>
      <c r="C4" s="108">
        <v>-0.61</v>
      </c>
      <c r="D4" s="107">
        <v>1.1919999999999999</v>
      </c>
      <c r="E4" s="115">
        <v>0.3</v>
      </c>
      <c r="F4" s="116">
        <v>1.21</v>
      </c>
      <c r="G4" s="108">
        <v>0.78</v>
      </c>
      <c r="H4" s="100"/>
      <c r="I4" s="48"/>
      <c r="J4" s="56"/>
      <c r="K4" s="46"/>
      <c r="L4" s="46"/>
      <c r="P4" s="57" t="s">
        <v>43</v>
      </c>
      <c r="Q4" s="58">
        <v>0.99099999999999999</v>
      </c>
      <c r="R4" s="59">
        <v>-0.58699999999999997</v>
      </c>
      <c r="S4" s="60">
        <f>Q4*1.3</f>
        <v>1.2883</v>
      </c>
      <c r="T4" s="61">
        <f>R4</f>
        <v>-0.58699999999999997</v>
      </c>
      <c r="W4" s="48"/>
    </row>
    <row r="5" spans="1:23" ht="15" x14ac:dyDescent="0.25">
      <c r="A5" s="113" t="s">
        <v>11</v>
      </c>
      <c r="B5" s="107">
        <v>3.7</v>
      </c>
      <c r="C5" s="108">
        <v>-0.62</v>
      </c>
      <c r="D5" s="107">
        <v>0.83399999999999996</v>
      </c>
      <c r="E5" s="116">
        <v>0.31</v>
      </c>
      <c r="F5" s="116">
        <v>1.22</v>
      </c>
      <c r="G5" s="108">
        <v>0.77</v>
      </c>
      <c r="H5" s="100"/>
      <c r="I5" s="48"/>
      <c r="J5" s="56"/>
      <c r="K5" s="48"/>
      <c r="L5" s="48"/>
      <c r="M5" s="48"/>
      <c r="N5" s="48"/>
      <c r="O5" s="48"/>
      <c r="P5" s="62" t="s">
        <v>44</v>
      </c>
      <c r="Q5" s="63">
        <v>1.595</v>
      </c>
      <c r="R5" s="64">
        <v>-0.63500000000000001</v>
      </c>
      <c r="S5" s="65">
        <f t="shared" ref="S5:S15" si="0">Q5*1.3</f>
        <v>2.0735000000000001</v>
      </c>
      <c r="T5" s="66">
        <f t="shared" ref="T5:T15" si="1">R5</f>
        <v>-0.63500000000000001</v>
      </c>
      <c r="W5" s="48"/>
    </row>
    <row r="6" spans="1:23" ht="15.6" thickBot="1" x14ac:dyDescent="0.3">
      <c r="A6" s="117" t="s">
        <v>10</v>
      </c>
      <c r="B6" s="102">
        <v>3.1</v>
      </c>
      <c r="C6" s="103">
        <v>-0.64</v>
      </c>
      <c r="D6" s="102">
        <v>0.68200000000000005</v>
      </c>
      <c r="E6" s="105">
        <v>0.32</v>
      </c>
      <c r="F6" s="105">
        <v>1.23</v>
      </c>
      <c r="G6" s="103">
        <v>0.77</v>
      </c>
      <c r="H6" s="100"/>
      <c r="J6" s="56"/>
      <c r="P6" s="62" t="s">
        <v>45</v>
      </c>
      <c r="Q6" s="63">
        <v>1.7509999999999999</v>
      </c>
      <c r="R6" s="64">
        <v>-0.61199999999999999</v>
      </c>
      <c r="S6" s="65">
        <f t="shared" si="0"/>
        <v>2.2763</v>
      </c>
      <c r="T6" s="66">
        <f t="shared" si="1"/>
        <v>-0.61199999999999999</v>
      </c>
    </row>
    <row r="7" spans="1:23" ht="15" x14ac:dyDescent="0.25">
      <c r="A7" s="118" t="s">
        <v>29</v>
      </c>
      <c r="B7" s="100"/>
      <c r="C7" s="100"/>
      <c r="D7" s="100"/>
      <c r="E7" s="100"/>
      <c r="F7" s="100"/>
      <c r="G7" s="100"/>
      <c r="H7" s="100"/>
      <c r="J7" s="56"/>
      <c r="P7" s="62" t="s">
        <v>46</v>
      </c>
      <c r="Q7" s="63">
        <v>2.59</v>
      </c>
      <c r="R7" s="64">
        <v>-0.63100000000000001</v>
      </c>
      <c r="S7" s="65">
        <f t="shared" si="0"/>
        <v>3.367</v>
      </c>
      <c r="T7" s="66">
        <f t="shared" si="1"/>
        <v>-0.63100000000000001</v>
      </c>
    </row>
    <row r="8" spans="1:23" ht="15" x14ac:dyDescent="0.25">
      <c r="A8" s="100"/>
      <c r="B8" s="100"/>
      <c r="C8" s="100"/>
      <c r="D8" s="100"/>
      <c r="E8" s="100"/>
      <c r="F8" s="100"/>
      <c r="G8" s="100"/>
      <c r="H8" s="100"/>
      <c r="J8" s="56"/>
      <c r="P8" s="67" t="s">
        <v>10</v>
      </c>
      <c r="Q8" s="63">
        <v>4.1920000000000002</v>
      </c>
      <c r="R8" s="64">
        <v>-0.70299999999999996</v>
      </c>
      <c r="S8" s="122">
        <f t="shared" si="0"/>
        <v>5.4496000000000002</v>
      </c>
      <c r="T8" s="123">
        <f t="shared" si="1"/>
        <v>-0.70299999999999996</v>
      </c>
      <c r="U8">
        <v>8</v>
      </c>
    </row>
    <row r="9" spans="1:23" ht="15.6" thickBot="1" x14ac:dyDescent="0.3">
      <c r="A9" s="100"/>
      <c r="B9" s="100"/>
      <c r="C9" s="100"/>
      <c r="D9" s="100"/>
      <c r="E9" s="100"/>
      <c r="F9" s="100"/>
      <c r="G9" s="100"/>
      <c r="H9" s="100"/>
      <c r="J9" s="56"/>
      <c r="P9" s="67" t="s">
        <v>11</v>
      </c>
      <c r="Q9" s="63">
        <v>4.798</v>
      </c>
      <c r="R9" s="64">
        <v>-0.69699999999999995</v>
      </c>
      <c r="S9" s="122">
        <f t="shared" si="0"/>
        <v>6.2374000000000001</v>
      </c>
      <c r="T9" s="123">
        <f t="shared" si="1"/>
        <v>-0.69699999999999995</v>
      </c>
      <c r="U9">
        <v>9</v>
      </c>
    </row>
    <row r="10" spans="1:23" ht="15" x14ac:dyDescent="0.25">
      <c r="A10" s="96" t="s">
        <v>18</v>
      </c>
      <c r="B10" s="97" t="s">
        <v>19</v>
      </c>
      <c r="C10" s="98"/>
      <c r="D10" s="100"/>
      <c r="E10" s="100"/>
      <c r="F10" s="100"/>
      <c r="G10" s="100"/>
      <c r="H10" s="100"/>
      <c r="J10" s="56"/>
      <c r="P10" s="67" t="s">
        <v>12</v>
      </c>
      <c r="Q10" s="63">
        <v>4.5999999999999996</v>
      </c>
      <c r="R10" s="64">
        <v>-0.66</v>
      </c>
      <c r="S10" s="122">
        <f t="shared" si="0"/>
        <v>5.9799999999999995</v>
      </c>
      <c r="T10" s="123">
        <f t="shared" si="1"/>
        <v>-0.66</v>
      </c>
      <c r="U10">
        <v>10</v>
      </c>
    </row>
    <row r="11" spans="1:23" ht="15.6" thickBot="1" x14ac:dyDescent="0.3">
      <c r="A11" s="101"/>
      <c r="B11" s="102" t="s">
        <v>22</v>
      </c>
      <c r="C11" s="103" t="s">
        <v>23</v>
      </c>
      <c r="D11" s="100"/>
      <c r="E11" s="100"/>
      <c r="F11" s="100"/>
      <c r="G11" s="100"/>
      <c r="H11" s="100"/>
      <c r="J11" s="56"/>
      <c r="P11" s="67" t="s">
        <v>13</v>
      </c>
      <c r="Q11" s="63">
        <v>5.1829999999999998</v>
      </c>
      <c r="R11" s="64">
        <v>-0.64500000000000002</v>
      </c>
      <c r="S11" s="122">
        <f t="shared" si="0"/>
        <v>6.7378999999999998</v>
      </c>
      <c r="T11" s="123">
        <f t="shared" si="1"/>
        <v>-0.64500000000000002</v>
      </c>
      <c r="U11">
        <v>11</v>
      </c>
    </row>
    <row r="12" spans="1:23" ht="15" x14ac:dyDescent="0.25">
      <c r="A12" s="106" t="s">
        <v>13</v>
      </c>
      <c r="B12" s="119">
        <v>3.347</v>
      </c>
      <c r="C12" s="112">
        <v>-0.47699999999999998</v>
      </c>
      <c r="D12" s="100"/>
      <c r="E12" s="100"/>
      <c r="F12" s="100"/>
      <c r="G12" s="100"/>
      <c r="H12" s="100"/>
      <c r="J12" s="56"/>
      <c r="P12" s="68" t="s">
        <v>47</v>
      </c>
      <c r="Q12" s="63">
        <v>5.55</v>
      </c>
      <c r="R12" s="64">
        <v>-0.624</v>
      </c>
      <c r="S12" s="69">
        <f t="shared" si="0"/>
        <v>7.2149999999999999</v>
      </c>
      <c r="T12" s="70">
        <f t="shared" si="1"/>
        <v>-0.624</v>
      </c>
    </row>
    <row r="13" spans="1:23" ht="15" x14ac:dyDescent="0.25">
      <c r="A13" s="113" t="s">
        <v>12</v>
      </c>
      <c r="B13" s="120">
        <v>3.0230000000000001</v>
      </c>
      <c r="C13" s="108">
        <v>-0.497</v>
      </c>
      <c r="D13" s="100"/>
      <c r="E13" s="100"/>
      <c r="F13" s="100"/>
      <c r="G13" s="100"/>
      <c r="H13" s="100"/>
      <c r="J13" s="56"/>
      <c r="P13" s="68" t="s">
        <v>48</v>
      </c>
      <c r="Q13" s="63">
        <v>5.7169999999999996</v>
      </c>
      <c r="R13" s="64">
        <v>-0.60899999999999999</v>
      </c>
      <c r="S13" s="69">
        <f t="shared" si="0"/>
        <v>7.4321000000000002</v>
      </c>
      <c r="T13" s="70">
        <f t="shared" si="1"/>
        <v>-0.60899999999999999</v>
      </c>
    </row>
    <row r="14" spans="1:23" ht="15.6" thickBot="1" x14ac:dyDescent="0.3">
      <c r="A14" s="117" t="s">
        <v>11</v>
      </c>
      <c r="B14" s="102">
        <v>2.4449999999999998</v>
      </c>
      <c r="C14" s="103">
        <v>-0.52800000000000002</v>
      </c>
      <c r="D14" s="100"/>
      <c r="E14" s="100"/>
      <c r="F14" s="100"/>
      <c r="G14" s="100"/>
      <c r="H14" s="100"/>
      <c r="J14" s="56"/>
      <c r="P14" s="68" t="s">
        <v>49</v>
      </c>
      <c r="Q14" s="63">
        <v>5.9169999999999998</v>
      </c>
      <c r="R14" s="64">
        <v>-0.59099999999999997</v>
      </c>
      <c r="S14" s="69">
        <f t="shared" si="0"/>
        <v>7.6920999999999999</v>
      </c>
      <c r="T14" s="70">
        <f t="shared" si="1"/>
        <v>-0.59099999999999997</v>
      </c>
    </row>
    <row r="15" spans="1:23" ht="15.6" thickBot="1" x14ac:dyDescent="0.3">
      <c r="A15" s="118" t="s">
        <v>30</v>
      </c>
      <c r="B15" s="100"/>
      <c r="C15" s="100"/>
      <c r="D15" s="100"/>
      <c r="E15" s="100"/>
      <c r="F15" s="100"/>
      <c r="G15" s="100"/>
      <c r="H15" s="100"/>
      <c r="J15" s="56"/>
      <c r="P15" s="71" t="s">
        <v>50</v>
      </c>
      <c r="Q15" s="72">
        <v>5.9829999999999997</v>
      </c>
      <c r="R15" s="73">
        <v>-0.56000000000000005</v>
      </c>
      <c r="S15" s="74">
        <f t="shared" si="0"/>
        <v>7.7778999999999998</v>
      </c>
      <c r="T15" s="75">
        <f t="shared" si="1"/>
        <v>-0.56000000000000005</v>
      </c>
    </row>
    <row r="16" spans="1:23" ht="15.6" thickBot="1" x14ac:dyDescent="0.3">
      <c r="A16" s="121" t="s">
        <v>31</v>
      </c>
      <c r="B16" s="100"/>
      <c r="C16" s="100"/>
      <c r="D16" s="100"/>
      <c r="E16" s="100"/>
      <c r="F16" s="100"/>
      <c r="G16" s="100"/>
      <c r="H16" s="100"/>
      <c r="J16" s="56"/>
    </row>
    <row r="17" spans="1:23" ht="15.6" thickBot="1" x14ac:dyDescent="0.3">
      <c r="A17" s="100"/>
      <c r="B17" s="100"/>
      <c r="C17" s="100"/>
      <c r="D17" s="100"/>
      <c r="E17" s="100"/>
      <c r="F17" s="100"/>
      <c r="G17" s="100"/>
      <c r="H17" s="100"/>
      <c r="J17" s="56"/>
      <c r="K17" s="310" t="s">
        <v>51</v>
      </c>
      <c r="L17" s="311"/>
      <c r="M17" s="311"/>
      <c r="N17" s="311"/>
      <c r="O17" s="312"/>
      <c r="P17" s="312"/>
      <c r="Q17" s="312"/>
      <c r="R17" s="312"/>
      <c r="S17" s="312"/>
      <c r="T17" s="312"/>
      <c r="U17" s="312"/>
      <c r="V17" s="313"/>
    </row>
    <row r="18" spans="1:23" ht="30.6" thickBot="1" x14ac:dyDescent="0.3">
      <c r="I18" s="76"/>
      <c r="J18" s="77" t="s">
        <v>52</v>
      </c>
      <c r="K18" s="78" t="s">
        <v>43</v>
      </c>
      <c r="L18" s="79" t="s">
        <v>44</v>
      </c>
      <c r="M18" s="79" t="s">
        <v>45</v>
      </c>
      <c r="N18" s="79" t="s">
        <v>46</v>
      </c>
      <c r="O18" s="80" t="s">
        <v>10</v>
      </c>
      <c r="P18" s="80" t="s">
        <v>11</v>
      </c>
      <c r="Q18" s="80" t="s">
        <v>12</v>
      </c>
      <c r="R18" s="80" t="s">
        <v>13</v>
      </c>
      <c r="S18" s="81" t="s">
        <v>47</v>
      </c>
      <c r="T18" s="81" t="s">
        <v>48</v>
      </c>
      <c r="U18" s="81" t="s">
        <v>49</v>
      </c>
      <c r="V18" s="82" t="s">
        <v>50</v>
      </c>
      <c r="W18" s="76"/>
    </row>
    <row r="19" spans="1:23" ht="15" x14ac:dyDescent="0.25">
      <c r="I19" s="83">
        <v>3.472222222222222E-3</v>
      </c>
      <c r="J19" s="84">
        <v>6</v>
      </c>
      <c r="K19" s="85">
        <v>2.7001847068274656</v>
      </c>
      <c r="L19" s="86">
        <v>3.9877621423269094</v>
      </c>
      <c r="M19" s="86">
        <v>4.5619674637928611</v>
      </c>
      <c r="N19" s="86">
        <v>6.5220020019736165</v>
      </c>
      <c r="O19" s="86">
        <v>9.2784524760595311</v>
      </c>
      <c r="P19" s="86">
        <v>10.734539657970867</v>
      </c>
      <c r="Q19" s="86">
        <v>10.996959082122707</v>
      </c>
      <c r="R19" s="86">
        <v>12.728237051222759</v>
      </c>
      <c r="S19" s="86">
        <v>14.152110326564735</v>
      </c>
      <c r="T19" s="86">
        <v>14.97506387174554</v>
      </c>
      <c r="U19" s="86">
        <v>16.006957173517065</v>
      </c>
      <c r="V19" s="87">
        <v>17.109956496710456</v>
      </c>
    </row>
    <row r="20" spans="1:23" ht="15" x14ac:dyDescent="0.25">
      <c r="I20" s="83">
        <v>4.1666666666666666E-3</v>
      </c>
      <c r="J20" s="88">
        <v>10</v>
      </c>
      <c r="K20" s="89">
        <v>3.3343946985917277</v>
      </c>
      <c r="L20" s="90">
        <v>4.8051178067096405</v>
      </c>
      <c r="M20" s="90">
        <v>5.5619809670972877</v>
      </c>
      <c r="N20" s="90">
        <v>7.8748649825660451</v>
      </c>
      <c r="O20" s="90">
        <v>10.798529679827462</v>
      </c>
      <c r="P20" s="90">
        <v>12.531515509365681</v>
      </c>
      <c r="Q20" s="90">
        <v>13.082814511218322</v>
      </c>
      <c r="R20" s="90">
        <v>15.258946880131269</v>
      </c>
      <c r="S20" s="90">
        <v>17.148902667998478</v>
      </c>
      <c r="T20" s="90">
        <v>18.285698070785578</v>
      </c>
      <c r="U20" s="90">
        <v>19.726267657297932</v>
      </c>
      <c r="V20" s="91">
        <v>21.422115431693921</v>
      </c>
    </row>
    <row r="21" spans="1:23" ht="15" x14ac:dyDescent="0.25">
      <c r="I21" s="83">
        <v>8.3333333333333332E-3</v>
      </c>
      <c r="J21" s="88">
        <v>12</v>
      </c>
      <c r="K21" s="89">
        <v>3.5951652839416059</v>
      </c>
      <c r="L21" s="90">
        <v>5.1357656059575731</v>
      </c>
      <c r="M21" s="90">
        <v>5.9696905858105644</v>
      </c>
      <c r="N21" s="90">
        <v>8.4228874241353697</v>
      </c>
      <c r="O21" s="90">
        <v>11.399385910770443</v>
      </c>
      <c r="P21" s="90">
        <v>13.24327854064304</v>
      </c>
      <c r="Q21" s="90">
        <v>13.919473471818174</v>
      </c>
      <c r="R21" s="90">
        <v>16.279231663595045</v>
      </c>
      <c r="S21" s="90">
        <v>18.365742204783395</v>
      </c>
      <c r="T21" s="90">
        <v>19.636831418027892</v>
      </c>
      <c r="U21" s="90">
        <v>21.253480026715788</v>
      </c>
      <c r="V21" s="91">
        <v>23.211441025878809</v>
      </c>
    </row>
    <row r="22" spans="1:23" ht="15" x14ac:dyDescent="0.25">
      <c r="I22" s="83">
        <v>1.0416666666666666E-2</v>
      </c>
      <c r="J22" s="88">
        <v>15</v>
      </c>
      <c r="K22" s="89">
        <v>3.9422367011061694</v>
      </c>
      <c r="L22" s="90">
        <v>5.5715668951825954</v>
      </c>
      <c r="M22" s="90">
        <v>6.509579074264054</v>
      </c>
      <c r="N22" s="90">
        <v>9.145780856689413</v>
      </c>
      <c r="O22" s="90">
        <v>12.18046113051868</v>
      </c>
      <c r="P22" s="90">
        <v>14.169654059491918</v>
      </c>
      <c r="Q22" s="90">
        <v>15.016620730018595</v>
      </c>
      <c r="R22" s="90">
        <v>17.62125995536319</v>
      </c>
      <c r="S22" s="90">
        <v>19.973153919666043</v>
      </c>
      <c r="T22" s="90">
        <v>21.427091629798085</v>
      </c>
      <c r="U22" s="90">
        <v>23.284464078107064</v>
      </c>
      <c r="V22" s="91">
        <v>25.606045280061146</v>
      </c>
    </row>
    <row r="23" spans="1:23" ht="15" x14ac:dyDescent="0.25">
      <c r="I23" s="83">
        <v>1.3888888888888888E-2</v>
      </c>
      <c r="J23" s="88">
        <v>20</v>
      </c>
      <c r="K23" s="89">
        <v>4.4395852006067589</v>
      </c>
      <c r="L23" s="90">
        <v>6.1884229508918898</v>
      </c>
      <c r="M23" s="90">
        <v>7.2782863273936442</v>
      </c>
      <c r="N23" s="90">
        <v>10.170052264373393</v>
      </c>
      <c r="O23" s="90">
        <v>13.266932972591956</v>
      </c>
      <c r="P23" s="90">
        <v>15.460220532483351</v>
      </c>
      <c r="Q23" s="90">
        <v>16.559658735264659</v>
      </c>
      <c r="R23" s="90">
        <v>19.51597304516611</v>
      </c>
      <c r="S23" s="90">
        <v>22.254795802728424</v>
      </c>
      <c r="T23" s="90">
        <v>23.978072711560301</v>
      </c>
      <c r="U23" s="90">
        <v>26.191850900286553</v>
      </c>
      <c r="V23" s="91">
        <v>29.061334497719528</v>
      </c>
    </row>
    <row r="24" spans="1:23" ht="15" x14ac:dyDescent="0.25">
      <c r="I24" s="83">
        <v>1.7361111111111112E-2</v>
      </c>
      <c r="J24" s="88">
        <v>25</v>
      </c>
      <c r="K24" s="89">
        <v>4.8681755450006277</v>
      </c>
      <c r="L24" s="90">
        <v>6.7135486881607278</v>
      </c>
      <c r="M24" s="90">
        <v>7.9365219507219686</v>
      </c>
      <c r="N24" s="90">
        <v>11.042895936672812</v>
      </c>
      <c r="O24" s="90">
        <v>14.175970763580478</v>
      </c>
      <c r="P24" s="90">
        <v>16.541672513829504</v>
      </c>
      <c r="Q24" s="90">
        <v>17.864908119511451</v>
      </c>
      <c r="R24" s="90">
        <v>21.124832020161094</v>
      </c>
      <c r="S24" s="90">
        <v>24.202586373169382</v>
      </c>
      <c r="T24" s="90">
        <v>26.164117324187025</v>
      </c>
      <c r="U24" s="90">
        <v>28.694746020898958</v>
      </c>
      <c r="V24" s="91">
        <v>32.059441988885958</v>
      </c>
    </row>
    <row r="25" spans="1:23" ht="15" x14ac:dyDescent="0.25">
      <c r="I25" s="83">
        <v>2.0833333333333332E-2</v>
      </c>
      <c r="J25" s="88">
        <v>30</v>
      </c>
      <c r="K25" s="89">
        <v>5.2488974154474386</v>
      </c>
      <c r="L25" s="90">
        <v>7.1755186518907594</v>
      </c>
      <c r="M25" s="90">
        <v>8.5182924309843475</v>
      </c>
      <c r="N25" s="90">
        <v>11.811385911625933</v>
      </c>
      <c r="O25" s="90">
        <v>14.964755960779554</v>
      </c>
      <c r="P25" s="90">
        <v>17.481203806915424</v>
      </c>
      <c r="Q25" s="90">
        <v>19.007386708171833</v>
      </c>
      <c r="R25" s="90">
        <v>22.53733740685086</v>
      </c>
      <c r="S25" s="90">
        <v>25.919936139593929</v>
      </c>
      <c r="T25" s="90">
        <v>28.097388412937459</v>
      </c>
      <c r="U25" s="90">
        <v>30.916300134518011</v>
      </c>
      <c r="V25" s="91">
        <v>34.737271835751983</v>
      </c>
    </row>
    <row r="26" spans="1:23" ht="15" x14ac:dyDescent="0.25">
      <c r="I26" s="83">
        <v>3.125E-2</v>
      </c>
      <c r="J26" s="88">
        <v>45</v>
      </c>
      <c r="K26" s="89">
        <v>6.2057428414991147</v>
      </c>
      <c r="L26" s="90">
        <v>8.3200628548201614</v>
      </c>
      <c r="M26" s="90">
        <v>9.9695591346362242</v>
      </c>
      <c r="N26" s="90">
        <v>13.717612606777603</v>
      </c>
      <c r="O26" s="90">
        <v>16.879856213062286</v>
      </c>
      <c r="P26" s="90">
        <v>19.766373053789</v>
      </c>
      <c r="Q26" s="90">
        <v>21.816919977017474</v>
      </c>
      <c r="R26" s="90">
        <v>26.02645413655398</v>
      </c>
      <c r="S26" s="90">
        <v>30.188688111811832</v>
      </c>
      <c r="T26" s="90">
        <v>32.924382419061395</v>
      </c>
      <c r="U26" s="90">
        <v>36.492938878066866</v>
      </c>
      <c r="V26" s="91">
        <v>41.521770264390902</v>
      </c>
    </row>
    <row r="27" spans="1:23" ht="15" x14ac:dyDescent="0.25">
      <c r="I27" s="83">
        <v>4.1666666666666664E-2</v>
      </c>
      <c r="J27" s="88">
        <v>60</v>
      </c>
      <c r="K27" s="89">
        <v>6.9886529315097112</v>
      </c>
      <c r="L27" s="90">
        <v>9.2412186539752206</v>
      </c>
      <c r="M27" s="90">
        <v>11.146850681427305</v>
      </c>
      <c r="N27" s="90">
        <v>15.253901152826758</v>
      </c>
      <c r="O27" s="90">
        <v>18.385504338960203</v>
      </c>
      <c r="P27" s="90">
        <v>21.566686473492627</v>
      </c>
      <c r="Q27" s="90">
        <v>24.058725060011554</v>
      </c>
      <c r="R27" s="90">
        <v>28.824929583746695</v>
      </c>
      <c r="S27" s="90">
        <v>33.637305964939003</v>
      </c>
      <c r="T27" s="90">
        <v>36.844162020084269</v>
      </c>
      <c r="U27" s="90">
        <v>41.049586144707284</v>
      </c>
      <c r="V27" s="91">
        <v>47.124733296107259</v>
      </c>
    </row>
    <row r="28" spans="1:23" ht="15" x14ac:dyDescent="0.25">
      <c r="I28" s="83">
        <v>5.2083333333333336E-2</v>
      </c>
      <c r="J28" s="88">
        <v>75</v>
      </c>
      <c r="K28" s="89">
        <v>7.66332613439263</v>
      </c>
      <c r="L28" s="90">
        <v>10.025392876946174</v>
      </c>
      <c r="M28" s="90">
        <v>12.154952571953578</v>
      </c>
      <c r="N28" s="90">
        <v>16.563065624455557</v>
      </c>
      <c r="O28" s="90">
        <v>19.645261834157143</v>
      </c>
      <c r="P28" s="90">
        <v>23.075289521477956</v>
      </c>
      <c r="Q28" s="90">
        <v>25.955058587916298</v>
      </c>
      <c r="R28" s="90">
        <v>31.201200885058824</v>
      </c>
      <c r="S28" s="90">
        <v>36.58131982848176</v>
      </c>
      <c r="T28" s="90">
        <v>40.203188529830399</v>
      </c>
      <c r="U28" s="90">
        <v>44.972287493912908</v>
      </c>
      <c r="V28" s="91">
        <v>51.986348165354443</v>
      </c>
    </row>
    <row r="29" spans="1:23" ht="15" x14ac:dyDescent="0.25">
      <c r="I29" s="83">
        <v>6.25E-2</v>
      </c>
      <c r="J29" s="88">
        <v>90</v>
      </c>
      <c r="K29" s="89">
        <v>8.2626463176440588</v>
      </c>
      <c r="L29" s="90">
        <v>10.715256107089958</v>
      </c>
      <c r="M29" s="90">
        <v>13.045946465658949</v>
      </c>
      <c r="N29" s="90">
        <v>17.715711629622906</v>
      </c>
      <c r="O29" s="90">
        <v>20.73837157516294</v>
      </c>
      <c r="P29" s="90">
        <v>24.385916157588721</v>
      </c>
      <c r="Q29" s="90">
        <v>27.6149103210318</v>
      </c>
      <c r="R29" s="90">
        <v>33.287459572430826</v>
      </c>
      <c r="S29" s="90">
        <v>39.177030885734268</v>
      </c>
      <c r="T29" s="90">
        <v>43.173808982921443</v>
      </c>
      <c r="U29" s="90">
        <v>48.454052769277077</v>
      </c>
      <c r="V29" s="91">
        <v>56.328613223960744</v>
      </c>
    </row>
    <row r="30" spans="1:23" ht="15" x14ac:dyDescent="0.25">
      <c r="I30" s="83">
        <v>7.2916666666666671E-2</v>
      </c>
      <c r="J30" s="88">
        <v>105</v>
      </c>
      <c r="K30" s="89">
        <v>8.8057872240454031</v>
      </c>
      <c r="L30" s="90">
        <v>11.335433510290002</v>
      </c>
      <c r="M30" s="90">
        <v>13.850037408886362</v>
      </c>
      <c r="N30" s="90">
        <v>18.752620626320702</v>
      </c>
      <c r="O30" s="90">
        <v>21.709901254304608</v>
      </c>
      <c r="P30" s="90">
        <v>25.55194438638976</v>
      </c>
      <c r="Q30" s="90">
        <v>29.100841375767981</v>
      </c>
      <c r="R30" s="90">
        <v>35.159829655979067</v>
      </c>
      <c r="S30" s="90">
        <v>41.514853708499693</v>
      </c>
      <c r="T30" s="90">
        <v>45.856041362825643</v>
      </c>
      <c r="U30" s="90">
        <v>51.607324566478368</v>
      </c>
      <c r="V30" s="91">
        <v>60.281721572339507</v>
      </c>
    </row>
    <row r="31" spans="1:23" ht="15.6" thickBot="1" x14ac:dyDescent="0.3">
      <c r="I31" s="83">
        <v>8.3333333333333329E-2</v>
      </c>
      <c r="J31" s="92">
        <v>120</v>
      </c>
      <c r="K31" s="93">
        <v>9.3050532200077001</v>
      </c>
      <c r="L31" s="94">
        <v>11.901595738738202</v>
      </c>
      <c r="M31" s="94">
        <v>14.586524367499111</v>
      </c>
      <c r="N31" s="94">
        <v>19.699762764603378</v>
      </c>
      <c r="O31" s="94">
        <v>22.588191259773506</v>
      </c>
      <c r="P31" s="94">
        <v>26.606975731381347</v>
      </c>
      <c r="Q31" s="94">
        <v>30.452489887227653</v>
      </c>
      <c r="R31" s="94">
        <v>36.866669318949221</v>
      </c>
      <c r="S31" s="94">
        <v>43.652435966095972</v>
      </c>
      <c r="T31" s="94">
        <v>48.313823869024141</v>
      </c>
      <c r="U31" s="94">
        <v>54.504210248960788</v>
      </c>
      <c r="V31" s="95">
        <v>63.929617119316518</v>
      </c>
    </row>
  </sheetData>
  <mergeCells count="2">
    <mergeCell ref="J1:V1"/>
    <mergeCell ref="K17:V17"/>
  </mergeCells>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H23"/>
  <sheetViews>
    <sheetView workbookViewId="0">
      <selection activeCell="H7" sqref="H7"/>
    </sheetView>
  </sheetViews>
  <sheetFormatPr baseColWidth="10" defaultColWidth="11.44140625" defaultRowHeight="13.2" x14ac:dyDescent="0.25"/>
  <cols>
    <col min="1" max="1" width="11.44140625" style="248"/>
    <col min="2" max="2" width="3.6640625" style="248" customWidth="1"/>
    <col min="3" max="3" width="26.44140625" style="248" customWidth="1"/>
    <col min="4" max="4" width="18.6640625" style="248" customWidth="1"/>
    <col min="5" max="5" width="14.88671875" style="248" customWidth="1"/>
    <col min="6" max="6" width="18.6640625" style="248" customWidth="1"/>
    <col min="7" max="7" width="3.6640625" style="248" customWidth="1"/>
    <col min="8" max="8" width="61.109375" style="248" customWidth="1"/>
    <col min="9" max="16384" width="11.44140625" style="248"/>
  </cols>
  <sheetData>
    <row r="1" spans="1:8" ht="13.8" thickBot="1" x14ac:dyDescent="0.3"/>
    <row r="2" spans="1:8" ht="13.8" x14ac:dyDescent="0.25">
      <c r="B2" s="199"/>
      <c r="C2" s="200"/>
      <c r="D2" s="201"/>
      <c r="E2" s="201"/>
      <c r="F2" s="201"/>
      <c r="G2" s="202"/>
    </row>
    <row r="3" spans="1:8" ht="16.2" customHeight="1" x14ac:dyDescent="0.25">
      <c r="B3" s="203"/>
      <c r="C3" s="204" t="s">
        <v>122</v>
      </c>
      <c r="D3" s="205"/>
      <c r="E3" s="205"/>
      <c r="F3" s="205"/>
      <c r="G3" s="206"/>
    </row>
    <row r="4" spans="1:8" ht="13.8" x14ac:dyDescent="0.25">
      <c r="B4" s="203"/>
      <c r="C4" s="247"/>
      <c r="D4" s="207"/>
      <c r="E4" s="207"/>
      <c r="F4" s="207"/>
      <c r="G4" s="206"/>
    </row>
    <row r="5" spans="1:8" ht="27.6" x14ac:dyDescent="0.25">
      <c r="B5" s="203"/>
      <c r="C5" s="210" t="s">
        <v>95</v>
      </c>
      <c r="D5" s="208" t="s">
        <v>96</v>
      </c>
      <c r="E5" s="208" t="s">
        <v>103</v>
      </c>
      <c r="F5" s="208" t="s">
        <v>102</v>
      </c>
      <c r="G5" s="206"/>
    </row>
    <row r="6" spans="1:8" ht="25.2" customHeight="1" x14ac:dyDescent="0.25">
      <c r="B6" s="203"/>
      <c r="C6" s="211" t="s">
        <v>97</v>
      </c>
      <c r="D6" s="209"/>
      <c r="E6" s="249">
        <v>1</v>
      </c>
      <c r="F6" s="291">
        <f>D6*E6</f>
        <v>0</v>
      </c>
      <c r="G6" s="206"/>
    </row>
    <row r="7" spans="1:8" ht="25.2" customHeight="1" x14ac:dyDescent="0.25">
      <c r="B7" s="203"/>
      <c r="C7" s="211" t="s">
        <v>128</v>
      </c>
      <c r="D7" s="209"/>
      <c r="E7" s="250">
        <v>1</v>
      </c>
      <c r="F7" s="291">
        <f t="shared" ref="F7:F9" si="0">D7*E7</f>
        <v>0</v>
      </c>
      <c r="G7" s="206"/>
      <c r="H7" s="251"/>
    </row>
    <row r="8" spans="1:8" ht="25.2" customHeight="1" x14ac:dyDescent="0.25">
      <c r="B8" s="203"/>
      <c r="C8" s="211" t="s">
        <v>98</v>
      </c>
      <c r="D8" s="209"/>
      <c r="E8" s="250">
        <v>0.3</v>
      </c>
      <c r="F8" s="291">
        <f t="shared" si="0"/>
        <v>0</v>
      </c>
      <c r="G8" s="206"/>
    </row>
    <row r="9" spans="1:8" ht="25.2" customHeight="1" x14ac:dyDescent="0.25">
      <c r="B9" s="203"/>
      <c r="C9" s="211" t="s">
        <v>99</v>
      </c>
      <c r="D9" s="209"/>
      <c r="E9" s="249">
        <v>0</v>
      </c>
      <c r="F9" s="291">
        <f t="shared" si="0"/>
        <v>0</v>
      </c>
      <c r="G9" s="206"/>
    </row>
    <row r="10" spans="1:8" ht="25.2" customHeight="1" x14ac:dyDescent="0.25">
      <c r="B10" s="203"/>
      <c r="C10" s="211" t="s">
        <v>101</v>
      </c>
      <c r="D10" s="209"/>
      <c r="E10" s="209"/>
      <c r="F10" s="291">
        <f>D10*E10</f>
        <v>0</v>
      </c>
      <c r="G10" s="206"/>
    </row>
    <row r="11" spans="1:8" ht="13.8" x14ac:dyDescent="0.25">
      <c r="B11" s="203"/>
      <c r="C11" s="212" t="s">
        <v>100</v>
      </c>
      <c r="D11" s="292">
        <f>SUM(D6:D9)</f>
        <v>0</v>
      </c>
      <c r="E11" s="214"/>
      <c r="F11" s="292">
        <f>SUM(F6:F9)</f>
        <v>0</v>
      </c>
      <c r="G11" s="206"/>
    </row>
    <row r="12" spans="1:8" ht="14.4" thickBot="1" x14ac:dyDescent="0.3">
      <c r="B12" s="203"/>
      <c r="C12" s="213"/>
      <c r="D12" s="222"/>
      <c r="E12" s="222"/>
      <c r="F12" s="222"/>
      <c r="G12" s="206"/>
    </row>
    <row r="13" spans="1:8" ht="25.5" customHeight="1" thickTop="1" thickBot="1" x14ac:dyDescent="0.3">
      <c r="B13" s="203"/>
      <c r="C13" s="223" t="s">
        <v>104</v>
      </c>
      <c r="D13" s="293">
        <f>MAX('Feuill calcul Estimation V30'!M28:M39)</f>
        <v>0</v>
      </c>
      <c r="E13" s="224" t="s">
        <v>32</v>
      </c>
      <c r="F13" s="222"/>
      <c r="G13" s="206"/>
    </row>
    <row r="14" spans="1:8" ht="14.4" thickTop="1" x14ac:dyDescent="0.25">
      <c r="B14" s="217"/>
      <c r="C14" s="218"/>
      <c r="D14" s="219"/>
      <c r="E14" s="219"/>
      <c r="F14" s="220"/>
      <c r="G14" s="221"/>
    </row>
    <row r="15" spans="1:8" ht="13.8" x14ac:dyDescent="0.25">
      <c r="B15" s="216"/>
      <c r="E15" s="216"/>
      <c r="F15" s="216"/>
      <c r="G15" s="216"/>
    </row>
    <row r="16" spans="1:8" x14ac:dyDescent="0.25">
      <c r="A16" s="252" t="s">
        <v>130</v>
      </c>
      <c r="B16" s="252"/>
      <c r="C16" s="252"/>
      <c r="D16" s="252"/>
    </row>
    <row r="17" spans="1:8" x14ac:dyDescent="0.25">
      <c r="A17" s="252"/>
      <c r="B17" s="252"/>
      <c r="C17" s="253" t="s">
        <v>129</v>
      </c>
      <c r="D17" s="252"/>
      <c r="F17" s="278" t="s">
        <v>123</v>
      </c>
      <c r="H17" s="254"/>
    </row>
    <row r="18" spans="1:8" ht="13.5" customHeight="1" x14ac:dyDescent="0.25">
      <c r="A18" s="248" t="s">
        <v>131</v>
      </c>
      <c r="H18" s="255"/>
    </row>
    <row r="19" spans="1:8" x14ac:dyDescent="0.25">
      <c r="C19" s="256" t="s">
        <v>132</v>
      </c>
      <c r="F19" s="279" t="s">
        <v>105</v>
      </c>
    </row>
    <row r="23" spans="1:8" x14ac:dyDescent="0.25">
      <c r="H23" s="255"/>
    </row>
  </sheetData>
  <sheetProtection algorithmName="SHA-512" hashValue="S8VS4HuqLWkKtlUK3t8KLw5TfV1OKqdKDj24tA0chM1lCjh1Q8865OGDTgSNN5ht2FpPf0Lsd3GbhjZWb0diRw==" saltValue="1XDUXW7xWwAps+Kp94YnwQ==" spinCount="100000" sheet="1" objects="1" scenarios="1"/>
  <conditionalFormatting sqref="D11:E12 D14:E14 E13">
    <cfRule type="cellIs" dxfId="71" priority="3" operator="greaterThan">
      <formula>#REF!</formula>
    </cfRule>
    <cfRule type="cellIs" dxfId="70" priority="4" operator="greaterThan">
      <formula>#REF!</formula>
    </cfRule>
  </conditionalFormatting>
  <conditionalFormatting sqref="F11:F13">
    <cfRule type="cellIs" dxfId="69" priority="1" operator="greaterThan">
      <formula>#REF!</formula>
    </cfRule>
    <cfRule type="cellIs" dxfId="68" priority="2" operator="greaterThan">
      <formula>#REF!</formula>
    </cfRule>
  </conditionalFormatting>
  <hyperlinks>
    <hyperlink ref="F17" location="'Section A'!A1" display="Section A"/>
    <hyperlink ref="F19" location="'Section B'!A1" display="Section B"/>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9"/>
  <sheetViews>
    <sheetView zoomScale="75" workbookViewId="0">
      <selection activeCell="G2" sqref="G2"/>
    </sheetView>
  </sheetViews>
  <sheetFormatPr baseColWidth="10" defaultColWidth="11.44140625" defaultRowHeight="13.2" x14ac:dyDescent="0.25"/>
  <cols>
    <col min="1" max="1" width="6.6640625" style="1" customWidth="1"/>
    <col min="2" max="4" width="8.33203125" style="1" customWidth="1"/>
    <col min="5" max="6" width="9.109375" style="1" customWidth="1"/>
    <col min="7" max="7" width="11.109375" style="1" customWidth="1"/>
    <col min="8" max="8" width="7.33203125" style="1" customWidth="1"/>
    <col min="9" max="13" width="8.33203125" style="1" customWidth="1"/>
    <col min="14" max="14" width="4.5546875" style="1" customWidth="1"/>
    <col min="15" max="15" width="7.6640625" style="1" customWidth="1"/>
    <col min="16" max="19" width="8.33203125" style="1" customWidth="1"/>
    <col min="20" max="20" width="9.109375" style="1" bestFit="1" customWidth="1"/>
    <col min="21" max="21" width="9" style="1" customWidth="1"/>
    <col min="22" max="22" width="32.88671875" style="1" customWidth="1"/>
    <col min="23" max="16384" width="11.44140625" style="1"/>
  </cols>
  <sheetData>
    <row r="1" spans="1:25" ht="17.399999999999999" x14ac:dyDescent="0.3">
      <c r="A1" s="42" t="s">
        <v>0</v>
      </c>
      <c r="C1" s="9"/>
      <c r="D1" s="8"/>
      <c r="E1" s="8"/>
      <c r="F1" s="8"/>
      <c r="G1" s="215">
        <f>'Estimation de V30'!F11</f>
        <v>0</v>
      </c>
      <c r="H1" s="10" t="s">
        <v>1</v>
      </c>
      <c r="I1" s="8"/>
    </row>
    <row r="2" spans="1:25" ht="21" x14ac:dyDescent="0.45">
      <c r="A2" s="42" t="s">
        <v>2</v>
      </c>
      <c r="C2" s="8"/>
      <c r="D2" s="8"/>
      <c r="E2" s="8"/>
      <c r="F2" s="8"/>
      <c r="G2" s="142">
        <v>0</v>
      </c>
      <c r="H2" s="11" t="s">
        <v>3</v>
      </c>
      <c r="I2" s="8"/>
      <c r="J2" s="12"/>
    </row>
    <row r="3" spans="1:25" ht="19.2" x14ac:dyDescent="0.3">
      <c r="A3" s="8"/>
      <c r="B3" s="8"/>
      <c r="C3" s="8"/>
      <c r="D3" s="8"/>
      <c r="E3" s="8"/>
      <c r="F3" s="8"/>
      <c r="G3" s="41">
        <f>G2*60</f>
        <v>0</v>
      </c>
      <c r="H3" s="11" t="s">
        <v>4</v>
      </c>
      <c r="I3" s="8"/>
      <c r="V3" s="43"/>
      <c r="W3" s="132" t="s">
        <v>65</v>
      </c>
      <c r="X3" s="133" t="s">
        <v>25</v>
      </c>
      <c r="Y3" s="141" t="s">
        <v>81</v>
      </c>
    </row>
    <row r="4" spans="1:25" ht="17.399999999999999" x14ac:dyDescent="0.3">
      <c r="B4" s="13"/>
      <c r="C4" s="13"/>
      <c r="D4" s="2"/>
      <c r="E4" s="2"/>
      <c r="F4" s="2"/>
      <c r="G4" s="2"/>
      <c r="H4" s="14"/>
      <c r="I4" s="15"/>
      <c r="V4" s="135" t="s">
        <v>55</v>
      </c>
      <c r="W4" s="144"/>
      <c r="X4" s="134">
        <v>0.95</v>
      </c>
      <c r="Y4" s="134">
        <f t="shared" ref="Y4:Y8" si="0">W4*X4</f>
        <v>0</v>
      </c>
    </row>
    <row r="5" spans="1:25" ht="17.399999999999999" x14ac:dyDescent="0.3">
      <c r="B5" s="13"/>
      <c r="C5" s="13"/>
      <c r="D5" s="2"/>
      <c r="E5" s="2"/>
      <c r="F5" s="2"/>
      <c r="G5" s="2"/>
      <c r="H5" s="14"/>
      <c r="I5" s="15"/>
      <c r="V5" s="135" t="s">
        <v>56</v>
      </c>
      <c r="W5" s="144"/>
      <c r="X5" s="134">
        <v>0.2</v>
      </c>
      <c r="Y5" s="134">
        <f t="shared" si="0"/>
        <v>0</v>
      </c>
    </row>
    <row r="6" spans="1:25" ht="17.399999999999999" x14ac:dyDescent="0.3">
      <c r="B6" s="13"/>
      <c r="C6" s="13"/>
      <c r="D6" s="2"/>
      <c r="E6" s="2"/>
      <c r="F6" s="2"/>
      <c r="G6" s="2"/>
      <c r="H6" s="14"/>
      <c r="I6" s="15"/>
      <c r="V6" s="135" t="s">
        <v>57</v>
      </c>
      <c r="W6" s="144"/>
      <c r="X6" s="134">
        <v>0.4</v>
      </c>
      <c r="Y6" s="134">
        <f t="shared" si="0"/>
        <v>0</v>
      </c>
    </row>
    <row r="7" spans="1:25" ht="17.399999999999999" x14ac:dyDescent="0.3">
      <c r="B7" s="13"/>
      <c r="C7" s="13"/>
      <c r="D7" s="2"/>
      <c r="E7" s="2"/>
      <c r="F7" s="2"/>
      <c r="G7" s="2"/>
      <c r="H7" s="14"/>
      <c r="I7" s="15"/>
      <c r="V7" s="136" t="s">
        <v>79</v>
      </c>
      <c r="W7" s="144">
        <v>1000</v>
      </c>
      <c r="X7" s="134">
        <v>1</v>
      </c>
      <c r="Y7" s="134">
        <f t="shared" si="0"/>
        <v>1000</v>
      </c>
    </row>
    <row r="8" spans="1:25" ht="15.6" x14ac:dyDescent="0.25">
      <c r="A8" s="16" t="s">
        <v>5</v>
      </c>
      <c r="B8" s="6"/>
      <c r="C8" s="126" t="s">
        <v>6</v>
      </c>
      <c r="D8" s="127"/>
      <c r="E8" s="127"/>
      <c r="F8" s="7"/>
      <c r="H8" s="16" t="s">
        <v>5</v>
      </c>
      <c r="I8" s="128" t="s">
        <v>7</v>
      </c>
      <c r="J8" s="127"/>
      <c r="K8" s="127"/>
      <c r="L8" s="127"/>
      <c r="M8" s="7"/>
      <c r="O8" s="16" t="s">
        <v>5</v>
      </c>
      <c r="P8" s="128" t="s">
        <v>8</v>
      </c>
      <c r="Q8" s="127"/>
      <c r="R8" s="127"/>
      <c r="S8" s="127"/>
      <c r="T8" s="7"/>
      <c r="V8" s="135" t="s">
        <v>58</v>
      </c>
      <c r="W8" s="144"/>
      <c r="X8" s="134">
        <v>0.95</v>
      </c>
      <c r="Y8" s="134">
        <f t="shared" si="0"/>
        <v>0</v>
      </c>
    </row>
    <row r="9" spans="1:25" x14ac:dyDescent="0.25">
      <c r="A9" s="17" t="s">
        <v>9</v>
      </c>
      <c r="B9" s="146" t="s">
        <v>10</v>
      </c>
      <c r="C9" s="146" t="s">
        <v>11</v>
      </c>
      <c r="D9" s="147" t="s">
        <v>12</v>
      </c>
      <c r="E9" s="145" t="s">
        <v>13</v>
      </c>
      <c r="F9" s="33" t="s">
        <v>48</v>
      </c>
      <c r="H9" s="17" t="s">
        <v>9</v>
      </c>
      <c r="I9" s="146" t="s">
        <v>10</v>
      </c>
      <c r="J9" s="146" t="s">
        <v>11</v>
      </c>
      <c r="K9" s="147" t="s">
        <v>12</v>
      </c>
      <c r="L9" s="145" t="s">
        <v>13</v>
      </c>
      <c r="M9" s="33" t="s">
        <v>48</v>
      </c>
      <c r="O9" s="17" t="s">
        <v>9</v>
      </c>
      <c r="P9" s="146" t="s">
        <v>10</v>
      </c>
      <c r="Q9" s="146" t="s">
        <v>11</v>
      </c>
      <c r="R9" s="147" t="s">
        <v>12</v>
      </c>
      <c r="S9" s="148" t="s">
        <v>13</v>
      </c>
      <c r="T9" s="33" t="s">
        <v>48</v>
      </c>
      <c r="V9" s="135" t="s">
        <v>59</v>
      </c>
      <c r="W9" s="144"/>
      <c r="X9" s="134">
        <v>0.95</v>
      </c>
      <c r="Y9" s="134">
        <f>W9*X9</f>
        <v>0</v>
      </c>
    </row>
    <row r="10" spans="1:25" x14ac:dyDescent="0.25">
      <c r="A10" s="3">
        <v>6</v>
      </c>
      <c r="B10" s="44">
        <f>paramètres!$S$8*POWER(H10,paramètres!$T$8)</f>
        <v>1.5464087460099218</v>
      </c>
      <c r="C10" s="44">
        <f>paramètres!$S$9*POWER(H10,paramètres!$T$9)</f>
        <v>1.7890899429951446</v>
      </c>
      <c r="D10" s="45">
        <f>paramètres!$S$10*POWER(H10,paramètres!$T$10)</f>
        <v>1.832826513687118</v>
      </c>
      <c r="E10" s="44">
        <f>paramètres!$S$11*POWER(H10,paramètres!$T$11)</f>
        <v>2.12137284187046</v>
      </c>
      <c r="F10" s="130">
        <v>2.15</v>
      </c>
      <c r="H10" s="3">
        <v>6</v>
      </c>
      <c r="I10" s="44">
        <f t="shared" ref="I10:I21" si="1">H10*B10</f>
        <v>9.2784524760595311</v>
      </c>
      <c r="J10" s="45">
        <f t="shared" ref="J10:J21" si="2">H10*C10</f>
        <v>10.734539657970867</v>
      </c>
      <c r="K10" s="44">
        <f t="shared" ref="K10:K21" si="3">H10*D10</f>
        <v>10.996959082122707</v>
      </c>
      <c r="L10" s="130">
        <f>H10*E10</f>
        <v>12.728237051222759</v>
      </c>
      <c r="M10" s="130">
        <f>H10*F10</f>
        <v>12.899999999999999</v>
      </c>
      <c r="O10" s="4">
        <v>6</v>
      </c>
      <c r="P10" s="21">
        <f t="shared" ref="P10:P21" si="4">I10*$G$1*0.001</f>
        <v>0</v>
      </c>
      <c r="Q10" s="22">
        <f t="shared" ref="Q10:Q21" si="5">J10*$G$1*0.001</f>
        <v>0</v>
      </c>
      <c r="R10" s="21">
        <f t="shared" ref="R10:R21" si="6">K10*$G$1*0.001</f>
        <v>0</v>
      </c>
      <c r="S10" s="23">
        <f t="shared" ref="S10:S20" si="7">L10*$G$1*0.001</f>
        <v>0</v>
      </c>
      <c r="T10" s="23">
        <f t="shared" ref="T10:T21" si="8">M10*$G$1*0.001</f>
        <v>0</v>
      </c>
      <c r="V10" s="135" t="s">
        <v>60</v>
      </c>
      <c r="W10" s="144"/>
      <c r="X10" s="134">
        <v>0.95</v>
      </c>
      <c r="Y10" s="134">
        <f>W10*X10</f>
        <v>0</v>
      </c>
    </row>
    <row r="11" spans="1:25" x14ac:dyDescent="0.25">
      <c r="A11" s="4">
        <v>10</v>
      </c>
      <c r="B11" s="18">
        <f>paramètres!$S$8*POWER(H11,paramètres!$T$8)</f>
        <v>1.0798529679827462</v>
      </c>
      <c r="C11" s="18">
        <f>paramètres!$S$9*POWER(H11,paramètres!$T$9)</f>
        <v>1.253151550936568</v>
      </c>
      <c r="D11" s="19">
        <f>paramètres!$S$10*POWER(H11,paramètres!$T$10)</f>
        <v>1.3082814511218321</v>
      </c>
      <c r="E11" s="18">
        <f>paramètres!$S$11*POWER(H11,paramètres!$T$11)</f>
        <v>1.525894688013127</v>
      </c>
      <c r="F11" s="20">
        <f>paramètres!$S$13*POWER(H11,paramètres!$T$13)</f>
        <v>1.8285698070785579</v>
      </c>
      <c r="H11" s="4">
        <v>10</v>
      </c>
      <c r="I11" s="18">
        <f t="shared" si="1"/>
        <v>10.798529679827462</v>
      </c>
      <c r="J11" s="19">
        <f t="shared" si="2"/>
        <v>12.531515509365681</v>
      </c>
      <c r="K11" s="18">
        <f t="shared" si="3"/>
        <v>13.082814511218322</v>
      </c>
      <c r="L11" s="20">
        <f t="shared" ref="L11:L19" si="9">H11*E11</f>
        <v>15.258946880131269</v>
      </c>
      <c r="M11" s="20">
        <f t="shared" ref="M11:M21" si="10">H11*F11</f>
        <v>18.285698070785578</v>
      </c>
      <c r="O11" s="4">
        <v>10</v>
      </c>
      <c r="P11" s="21">
        <f t="shared" si="4"/>
        <v>0</v>
      </c>
      <c r="Q11" s="22">
        <f t="shared" si="5"/>
        <v>0</v>
      </c>
      <c r="R11" s="21">
        <f t="shared" si="6"/>
        <v>0</v>
      </c>
      <c r="S11" s="23">
        <f t="shared" si="7"/>
        <v>0</v>
      </c>
      <c r="T11" s="23">
        <f t="shared" si="8"/>
        <v>0</v>
      </c>
      <c r="V11" s="135" t="s">
        <v>61</v>
      </c>
      <c r="W11" s="144"/>
      <c r="X11" s="134">
        <v>0.7</v>
      </c>
      <c r="Y11" s="134">
        <f t="shared" ref="Y11:Y14" si="11">W11*X11</f>
        <v>0</v>
      </c>
    </row>
    <row r="12" spans="1:25" ht="12.75" customHeight="1" x14ac:dyDescent="0.25">
      <c r="A12" s="4">
        <v>12</v>
      </c>
      <c r="B12" s="18">
        <f>paramètres!$S$8*POWER(H12,paramètres!$T$8)</f>
        <v>0.94994882589753693</v>
      </c>
      <c r="C12" s="18">
        <f>paramètres!$S$9*POWER(H12,paramètres!$T$9)</f>
        <v>1.1036065450535866</v>
      </c>
      <c r="D12" s="19">
        <f>paramètres!$S$10*POWER(H12,paramètres!$T$10)</f>
        <v>1.1599561226515145</v>
      </c>
      <c r="E12" s="18">
        <f>paramètres!$S$11*POWER(H12,paramètres!$T$11)</f>
        <v>1.3566026386329204</v>
      </c>
      <c r="F12" s="20">
        <f>paramètres!$S$13*POWER(H12,paramètres!$T$13)</f>
        <v>1.636402618168991</v>
      </c>
      <c r="H12" s="4">
        <v>12</v>
      </c>
      <c r="I12" s="18">
        <f t="shared" si="1"/>
        <v>11.399385910770443</v>
      </c>
      <c r="J12" s="19">
        <f t="shared" si="2"/>
        <v>13.24327854064304</v>
      </c>
      <c r="K12" s="18">
        <f t="shared" si="3"/>
        <v>13.919473471818174</v>
      </c>
      <c r="L12" s="20">
        <f t="shared" si="9"/>
        <v>16.279231663595045</v>
      </c>
      <c r="M12" s="20">
        <f t="shared" si="10"/>
        <v>19.636831418027892</v>
      </c>
      <c r="O12" s="4">
        <v>12</v>
      </c>
      <c r="P12" s="21">
        <f t="shared" si="4"/>
        <v>0</v>
      </c>
      <c r="Q12" s="22">
        <f t="shared" si="5"/>
        <v>0</v>
      </c>
      <c r="R12" s="21">
        <f t="shared" si="6"/>
        <v>0</v>
      </c>
      <c r="S12" s="23">
        <f t="shared" si="7"/>
        <v>0</v>
      </c>
      <c r="T12" s="23">
        <f t="shared" si="8"/>
        <v>0</v>
      </c>
      <c r="V12" s="135" t="s">
        <v>62</v>
      </c>
      <c r="W12" s="144"/>
      <c r="X12" s="134">
        <v>0.7</v>
      </c>
      <c r="Y12" s="134">
        <f t="shared" si="11"/>
        <v>0</v>
      </c>
    </row>
    <row r="13" spans="1:25" x14ac:dyDescent="0.25">
      <c r="A13" s="4">
        <v>15</v>
      </c>
      <c r="B13" s="18">
        <f>paramètres!$S$8*POWER(H13,paramètres!$T$8)</f>
        <v>0.8120307420345787</v>
      </c>
      <c r="C13" s="18">
        <f>paramètres!$S$9*POWER(H13,paramètres!$T$9)</f>
        <v>0.9446436039661279</v>
      </c>
      <c r="D13" s="19">
        <f>paramètres!$S$10*POWER(H13,paramètres!$T$10)</f>
        <v>1.0011080486679063</v>
      </c>
      <c r="E13" s="18">
        <f>paramètres!$S$11*POWER(H13,paramètres!$T$11)</f>
        <v>1.1747506636908793</v>
      </c>
      <c r="F13" s="20">
        <f>paramètres!$S$13*POWER(H13,paramètres!$T$13)</f>
        <v>1.4284727753198723</v>
      </c>
      <c r="H13" s="4">
        <v>15</v>
      </c>
      <c r="I13" s="18">
        <f t="shared" si="1"/>
        <v>12.18046113051868</v>
      </c>
      <c r="J13" s="19">
        <f t="shared" si="2"/>
        <v>14.169654059491918</v>
      </c>
      <c r="K13" s="18">
        <f t="shared" si="3"/>
        <v>15.016620730018595</v>
      </c>
      <c r="L13" s="20">
        <f t="shared" si="9"/>
        <v>17.62125995536319</v>
      </c>
      <c r="M13" s="20">
        <f t="shared" si="10"/>
        <v>21.427091629798085</v>
      </c>
      <c r="O13" s="4">
        <v>15</v>
      </c>
      <c r="P13" s="21">
        <f t="shared" si="4"/>
        <v>0</v>
      </c>
      <c r="Q13" s="22">
        <f t="shared" si="5"/>
        <v>0</v>
      </c>
      <c r="R13" s="21">
        <f t="shared" si="6"/>
        <v>0</v>
      </c>
      <c r="S13" s="23">
        <f t="shared" si="7"/>
        <v>0</v>
      </c>
      <c r="T13" s="23">
        <f t="shared" si="8"/>
        <v>0</v>
      </c>
      <c r="V13" s="135" t="s">
        <v>63</v>
      </c>
      <c r="W13" s="144"/>
      <c r="X13" s="134">
        <v>0.15</v>
      </c>
      <c r="Y13" s="134">
        <f>W13*X13</f>
        <v>0</v>
      </c>
    </row>
    <row r="14" spans="1:25" x14ac:dyDescent="0.25">
      <c r="A14" s="4">
        <v>20</v>
      </c>
      <c r="B14" s="18">
        <f>paramètres!$S$8*POWER(H14,paramètres!$T$8)</f>
        <v>0.6633466486295978</v>
      </c>
      <c r="C14" s="18">
        <f>paramètres!$S$9*POWER(H14,paramètres!$T$9)</f>
        <v>0.77301102662416754</v>
      </c>
      <c r="D14" s="19">
        <f>paramètres!$S$10*POWER(H14,paramètres!$T$10)</f>
        <v>0.82798293676323287</v>
      </c>
      <c r="E14" s="18">
        <f>paramètres!$S$11*POWER(H14,paramètres!$T$11)</f>
        <v>0.97579865225830542</v>
      </c>
      <c r="F14" s="20">
        <f>paramètres!$S$13*POWER(H14,paramètres!$T$13)</f>
        <v>1.1989036355780152</v>
      </c>
      <c r="H14" s="4">
        <v>20</v>
      </c>
      <c r="I14" s="18">
        <f t="shared" si="1"/>
        <v>13.266932972591956</v>
      </c>
      <c r="J14" s="19">
        <f t="shared" si="2"/>
        <v>15.460220532483351</v>
      </c>
      <c r="K14" s="18">
        <f t="shared" si="3"/>
        <v>16.559658735264659</v>
      </c>
      <c r="L14" s="20">
        <f t="shared" si="9"/>
        <v>19.51597304516611</v>
      </c>
      <c r="M14" s="20">
        <f t="shared" si="10"/>
        <v>23.978072711560301</v>
      </c>
      <c r="O14" s="4">
        <v>20</v>
      </c>
      <c r="P14" s="21">
        <f t="shared" si="4"/>
        <v>0</v>
      </c>
      <c r="Q14" s="22">
        <f t="shared" si="5"/>
        <v>0</v>
      </c>
      <c r="R14" s="21">
        <f t="shared" si="6"/>
        <v>0</v>
      </c>
      <c r="S14" s="23">
        <f t="shared" si="7"/>
        <v>0</v>
      </c>
      <c r="T14" s="23">
        <f t="shared" si="8"/>
        <v>0</v>
      </c>
      <c r="V14" s="135" t="s">
        <v>64</v>
      </c>
      <c r="W14" s="144"/>
      <c r="X14" s="134">
        <v>0.3</v>
      </c>
      <c r="Y14" s="134">
        <f t="shared" si="11"/>
        <v>0</v>
      </c>
    </row>
    <row r="15" spans="1:25" x14ac:dyDescent="0.25">
      <c r="A15" s="4">
        <v>30</v>
      </c>
      <c r="B15" s="18">
        <f>paramètres!$S$8*POWER(H15,paramètres!$T$8)</f>
        <v>0.49882519869265179</v>
      </c>
      <c r="C15" s="18">
        <f>paramètres!$S$9*POWER(H15,paramètres!$T$9)</f>
        <v>0.58270679356384747</v>
      </c>
      <c r="D15" s="19">
        <f>paramètres!$S$10*POWER(H15,paramètres!$T$10)</f>
        <v>0.63357955693906109</v>
      </c>
      <c r="E15" s="18">
        <f>paramètres!$S$11*POWER(H15,paramètres!$T$11)</f>
        <v>0.75124458022836205</v>
      </c>
      <c r="F15" s="20">
        <f>paramètres!$S$13*POWER(H15,paramètres!$T$13)</f>
        <v>0.93657961376458199</v>
      </c>
      <c r="H15" s="4">
        <v>30</v>
      </c>
      <c r="I15" s="18">
        <f t="shared" si="1"/>
        <v>14.964755960779554</v>
      </c>
      <c r="J15" s="19">
        <f t="shared" si="2"/>
        <v>17.481203806915424</v>
      </c>
      <c r="K15" s="18">
        <f t="shared" si="3"/>
        <v>19.007386708171833</v>
      </c>
      <c r="L15" s="20">
        <f t="shared" si="9"/>
        <v>22.53733740685086</v>
      </c>
      <c r="M15" s="20">
        <f>H15*F15</f>
        <v>28.097388412937459</v>
      </c>
      <c r="O15" s="4">
        <v>30</v>
      </c>
      <c r="P15" s="21">
        <f t="shared" si="4"/>
        <v>0</v>
      </c>
      <c r="Q15" s="22">
        <f t="shared" si="5"/>
        <v>0</v>
      </c>
      <c r="R15" s="21">
        <f t="shared" si="6"/>
        <v>0</v>
      </c>
      <c r="S15" s="23">
        <f t="shared" si="7"/>
        <v>0</v>
      </c>
      <c r="T15" s="23">
        <f t="shared" si="8"/>
        <v>0</v>
      </c>
      <c r="V15" s="138" t="s">
        <v>80</v>
      </c>
      <c r="W15" s="139">
        <f>SUM(W4:W14)</f>
        <v>1000</v>
      </c>
      <c r="X15" s="140"/>
      <c r="Y15" s="143">
        <f>SUM(Y4:Y14)</f>
        <v>1000</v>
      </c>
    </row>
    <row r="16" spans="1:25" x14ac:dyDescent="0.25">
      <c r="A16" s="4">
        <v>45</v>
      </c>
      <c r="B16" s="18">
        <f>paramètres!$S$8*POWER(H16,paramètres!$T$8)</f>
        <v>0.37510791584582859</v>
      </c>
      <c r="C16" s="18">
        <f>paramètres!$S$9*POWER(H16,paramètres!$T$9)</f>
        <v>0.43925273452864444</v>
      </c>
      <c r="D16" s="19">
        <f>paramètres!$S$10*POWER(H16,paramètres!$T$10)</f>
        <v>0.48482044393372165</v>
      </c>
      <c r="E16" s="18">
        <f>paramètres!$S$11*POWER(H16,paramètres!$T$11)</f>
        <v>0.57836564747897734</v>
      </c>
      <c r="F16" s="20">
        <f>paramètres!$S$13*POWER(H16,paramètres!$T$13)</f>
        <v>0.73165294264580882</v>
      </c>
      <c r="H16" s="4">
        <v>45</v>
      </c>
      <c r="I16" s="18">
        <f t="shared" si="1"/>
        <v>16.879856213062286</v>
      </c>
      <c r="J16" s="19">
        <f t="shared" si="2"/>
        <v>19.766373053789</v>
      </c>
      <c r="K16" s="18">
        <f t="shared" si="3"/>
        <v>21.816919977017474</v>
      </c>
      <c r="L16" s="20">
        <f t="shared" si="9"/>
        <v>26.02645413655398</v>
      </c>
      <c r="M16" s="20">
        <f t="shared" si="10"/>
        <v>32.924382419061395</v>
      </c>
      <c r="O16" s="4">
        <v>45</v>
      </c>
      <c r="P16" s="21">
        <f t="shared" si="4"/>
        <v>0</v>
      </c>
      <c r="Q16" s="22">
        <f t="shared" si="5"/>
        <v>0</v>
      </c>
      <c r="R16" s="21">
        <f t="shared" si="6"/>
        <v>0</v>
      </c>
      <c r="S16" s="23">
        <f t="shared" si="7"/>
        <v>0</v>
      </c>
      <c r="T16" s="23">
        <f t="shared" si="8"/>
        <v>0</v>
      </c>
    </row>
    <row r="17" spans="1:21" x14ac:dyDescent="0.25">
      <c r="A17" s="4">
        <v>60</v>
      </c>
      <c r="B17" s="18">
        <f>paramètres!$S$8*POWER(H17,paramètres!$T$8)</f>
        <v>0.30642507231600336</v>
      </c>
      <c r="C17" s="18">
        <f>paramètres!$S$9*POWER(H17,paramètres!$T$9)</f>
        <v>0.35944477455821044</v>
      </c>
      <c r="D17" s="19">
        <f>paramètres!$S$10*POWER(H17,paramètres!$T$10)</f>
        <v>0.40097875100019253</v>
      </c>
      <c r="E17" s="18">
        <f>paramètres!$S$11*POWER(H17,paramètres!$T$11)</f>
        <v>0.48041549306244491</v>
      </c>
      <c r="F17" s="20">
        <f>paramètres!$S$13*POWER(H17,paramètres!$T$13)</f>
        <v>0.61406936700140446</v>
      </c>
      <c r="H17" s="4">
        <v>60</v>
      </c>
      <c r="I17" s="18">
        <f t="shared" si="1"/>
        <v>18.385504338960203</v>
      </c>
      <c r="J17" s="19">
        <f t="shared" si="2"/>
        <v>21.566686473492627</v>
      </c>
      <c r="K17" s="18">
        <f t="shared" si="3"/>
        <v>24.058725060011554</v>
      </c>
      <c r="L17" s="20">
        <f t="shared" si="9"/>
        <v>28.824929583746695</v>
      </c>
      <c r="M17" s="20">
        <f>H17*F17</f>
        <v>36.844162020084269</v>
      </c>
      <c r="O17" s="4">
        <v>60</v>
      </c>
      <c r="P17" s="21">
        <f t="shared" si="4"/>
        <v>0</v>
      </c>
      <c r="Q17" s="22">
        <f t="shared" si="5"/>
        <v>0</v>
      </c>
      <c r="R17" s="21">
        <f t="shared" si="6"/>
        <v>0</v>
      </c>
      <c r="S17" s="23">
        <f t="shared" si="7"/>
        <v>0</v>
      </c>
      <c r="T17" s="23">
        <f t="shared" si="8"/>
        <v>0</v>
      </c>
    </row>
    <row r="18" spans="1:21" x14ac:dyDescent="0.25">
      <c r="A18" s="4">
        <v>75</v>
      </c>
      <c r="B18" s="18">
        <f>paramètres!$S$8*POWER(H18,paramètres!$T$8)</f>
        <v>0.2619368244554286</v>
      </c>
      <c r="C18" s="18">
        <f>paramètres!$S$9*POWER(H18,paramètres!$T$9)</f>
        <v>0.30767052695303942</v>
      </c>
      <c r="D18" s="19">
        <f>paramètres!$S$10*POWER(H18,paramètres!$T$10)</f>
        <v>0.34606744783888399</v>
      </c>
      <c r="E18" s="18">
        <f>paramètres!$S$11*POWER(H18,paramètres!$T$11)</f>
        <v>0.41601601180078435</v>
      </c>
      <c r="F18" s="20">
        <f>paramètres!$S$13*POWER(H18,paramètres!$T$13)</f>
        <v>0.53604251373107203</v>
      </c>
      <c r="H18" s="4">
        <v>75</v>
      </c>
      <c r="I18" s="18">
        <f t="shared" si="1"/>
        <v>19.645261834157143</v>
      </c>
      <c r="J18" s="19">
        <f t="shared" si="2"/>
        <v>23.075289521477956</v>
      </c>
      <c r="K18" s="18">
        <f t="shared" si="3"/>
        <v>25.955058587916298</v>
      </c>
      <c r="L18" s="20">
        <f t="shared" si="9"/>
        <v>31.201200885058824</v>
      </c>
      <c r="M18" s="20">
        <f t="shared" si="10"/>
        <v>40.203188529830399</v>
      </c>
      <c r="O18" s="4">
        <v>75</v>
      </c>
      <c r="P18" s="21">
        <f t="shared" si="4"/>
        <v>0</v>
      </c>
      <c r="Q18" s="22">
        <f t="shared" si="5"/>
        <v>0</v>
      </c>
      <c r="R18" s="21">
        <f t="shared" si="6"/>
        <v>0</v>
      </c>
      <c r="S18" s="23">
        <f t="shared" si="7"/>
        <v>0</v>
      </c>
      <c r="T18" s="23">
        <f t="shared" si="8"/>
        <v>0</v>
      </c>
    </row>
    <row r="19" spans="1:21" x14ac:dyDescent="0.25">
      <c r="A19" s="4">
        <v>90</v>
      </c>
      <c r="B19" s="18">
        <f>paramètres!$S$8*POWER(H19,paramètres!$T$8)</f>
        <v>0.23042635083514379</v>
      </c>
      <c r="C19" s="18">
        <f>paramètres!$S$9*POWER(H19,paramètres!$T$9)</f>
        <v>0.27095462397320802</v>
      </c>
      <c r="D19" s="19">
        <f>paramètres!$S$10*POWER(H19,paramètres!$T$10)</f>
        <v>0.30683233690035333</v>
      </c>
      <c r="E19" s="18">
        <f>paramètres!$S$11*POWER(H19,paramètres!$T$11)</f>
        <v>0.36986066191589806</v>
      </c>
      <c r="F19" s="20">
        <f>paramètres!$S$13*POWER(H19,paramètres!$T$13)</f>
        <v>0.47970898869912715</v>
      </c>
      <c r="H19" s="4">
        <v>90</v>
      </c>
      <c r="I19" s="18">
        <f t="shared" si="1"/>
        <v>20.73837157516294</v>
      </c>
      <c r="J19" s="19">
        <f t="shared" si="2"/>
        <v>24.385916157588721</v>
      </c>
      <c r="K19" s="18">
        <f t="shared" si="3"/>
        <v>27.6149103210318</v>
      </c>
      <c r="L19" s="20">
        <f t="shared" si="9"/>
        <v>33.287459572430826</v>
      </c>
      <c r="M19" s="20">
        <f t="shared" si="10"/>
        <v>43.173808982921443</v>
      </c>
      <c r="O19" s="4">
        <v>90</v>
      </c>
      <c r="P19" s="21">
        <f t="shared" si="4"/>
        <v>0</v>
      </c>
      <c r="Q19" s="22">
        <f t="shared" si="5"/>
        <v>0</v>
      </c>
      <c r="R19" s="21">
        <f t="shared" si="6"/>
        <v>0</v>
      </c>
      <c r="S19" s="23">
        <f t="shared" si="7"/>
        <v>0</v>
      </c>
      <c r="T19" s="23">
        <f t="shared" si="8"/>
        <v>0</v>
      </c>
    </row>
    <row r="20" spans="1:21" x14ac:dyDescent="0.25">
      <c r="A20" s="4">
        <v>105</v>
      </c>
      <c r="B20" s="18">
        <f>paramètres!$S$8*POWER(H20,paramètres!$T$8)</f>
        <v>0.20676096432671057</v>
      </c>
      <c r="C20" s="18">
        <f>paramètres!$S$9*POWER(H20,paramètres!$T$9)</f>
        <v>0.24335185129895009</v>
      </c>
      <c r="D20" s="19">
        <f>paramètres!$S$10*POWER(H20,paramètres!$T$10)</f>
        <v>0.27715087024540935</v>
      </c>
      <c r="E20" s="18">
        <f>paramètres!$S$11*POWER(H20,paramètres!$T$11)</f>
        <v>0.334855520533134</v>
      </c>
      <c r="F20" s="20">
        <f>paramètres!$S$13*POWER(H20,paramètres!$T$13)</f>
        <v>0.4367242034554823</v>
      </c>
      <c r="H20" s="4">
        <v>105</v>
      </c>
      <c r="I20" s="18">
        <f t="shared" si="1"/>
        <v>21.709901254304608</v>
      </c>
      <c r="J20" s="19">
        <f t="shared" si="2"/>
        <v>25.55194438638976</v>
      </c>
      <c r="K20" s="18">
        <f t="shared" si="3"/>
        <v>29.100841375767981</v>
      </c>
      <c r="L20" s="20">
        <f>H20*E20</f>
        <v>35.159829655979067</v>
      </c>
      <c r="M20" s="20">
        <f t="shared" si="10"/>
        <v>45.856041362825643</v>
      </c>
      <c r="O20" s="4">
        <v>105</v>
      </c>
      <c r="P20" s="21">
        <f t="shared" si="4"/>
        <v>0</v>
      </c>
      <c r="Q20" s="22">
        <f t="shared" si="5"/>
        <v>0</v>
      </c>
      <c r="R20" s="21">
        <f t="shared" si="6"/>
        <v>0</v>
      </c>
      <c r="S20" s="23">
        <f t="shared" si="7"/>
        <v>0</v>
      </c>
      <c r="T20" s="23">
        <f t="shared" si="8"/>
        <v>0</v>
      </c>
    </row>
    <row r="21" spans="1:21" x14ac:dyDescent="0.25">
      <c r="A21" s="5">
        <v>120</v>
      </c>
      <c r="B21" s="24">
        <f>paramètres!$S$8*POWER(H21,paramètres!$T$8)</f>
        <v>0.18823492716477921</v>
      </c>
      <c r="C21" s="24">
        <f>paramètres!$S$9*POWER(H21,paramètres!$T$9)</f>
        <v>0.22172479776151122</v>
      </c>
      <c r="D21" s="25">
        <f>paramètres!$S$10*POWER(H21,paramètres!$T$10)</f>
        <v>0.25377074906023045</v>
      </c>
      <c r="E21" s="24">
        <f>paramètres!$S$11*POWER(H21,paramètres!$T$11)</f>
        <v>0.30722224432457684</v>
      </c>
      <c r="F21" s="26">
        <f>paramètres!$S$13*POWER(H21,paramètres!$T$13)</f>
        <v>0.40261519890853453</v>
      </c>
      <c r="H21" s="5">
        <v>120</v>
      </c>
      <c r="I21" s="24">
        <f t="shared" si="1"/>
        <v>22.588191259773506</v>
      </c>
      <c r="J21" s="25">
        <f t="shared" si="2"/>
        <v>26.606975731381347</v>
      </c>
      <c r="K21" s="24">
        <f t="shared" si="3"/>
        <v>30.452489887227653</v>
      </c>
      <c r="L21" s="26">
        <f>H21*E21</f>
        <v>36.866669318949221</v>
      </c>
      <c r="M21" s="26">
        <f t="shared" si="10"/>
        <v>48.313823869024141</v>
      </c>
      <c r="O21" s="5">
        <v>120</v>
      </c>
      <c r="P21" s="27">
        <f t="shared" si="4"/>
        <v>0</v>
      </c>
      <c r="Q21" s="28">
        <f t="shared" si="5"/>
        <v>0</v>
      </c>
      <c r="R21" s="27">
        <f t="shared" si="6"/>
        <v>0</v>
      </c>
      <c r="S21" s="29">
        <f>L21*$G$1*0.001</f>
        <v>0</v>
      </c>
      <c r="T21" s="29">
        <f t="shared" si="8"/>
        <v>0</v>
      </c>
    </row>
    <row r="25" spans="1:21" ht="17.399999999999999" x14ac:dyDescent="0.3">
      <c r="E25" s="2"/>
      <c r="F25" s="2"/>
      <c r="G25" s="2"/>
      <c r="H25" s="30"/>
      <c r="I25" s="31"/>
    </row>
    <row r="26" spans="1:21" ht="15.6" x14ac:dyDescent="0.25">
      <c r="E26" s="32" t="s">
        <v>14</v>
      </c>
      <c r="F26" s="124"/>
      <c r="H26" s="16" t="s">
        <v>5</v>
      </c>
      <c r="I26" s="129" t="s">
        <v>15</v>
      </c>
      <c r="J26" s="127"/>
      <c r="K26" s="127"/>
      <c r="L26" s="127"/>
      <c r="M26" s="7"/>
      <c r="O26" s="187" t="s">
        <v>82</v>
      </c>
      <c r="S26" s="186">
        <f>MAX(M28:M39)</f>
        <v>0</v>
      </c>
      <c r="T26" s="137" t="s">
        <v>83</v>
      </c>
      <c r="U26" s="188" t="s">
        <v>85</v>
      </c>
    </row>
    <row r="27" spans="1:21" ht="15.6" x14ac:dyDescent="0.25">
      <c r="E27" s="33" t="s">
        <v>16</v>
      </c>
      <c r="F27" s="124"/>
      <c r="G27" s="34"/>
      <c r="H27" s="35"/>
      <c r="I27" s="146" t="s">
        <v>10</v>
      </c>
      <c r="J27" s="146" t="s">
        <v>11</v>
      </c>
      <c r="K27" s="147" t="s">
        <v>12</v>
      </c>
      <c r="L27" s="148" t="s">
        <v>13</v>
      </c>
      <c r="M27" s="33" t="s">
        <v>48</v>
      </c>
      <c r="O27" s="187" t="s">
        <v>84</v>
      </c>
      <c r="S27" s="186">
        <f>MAX(L28:L39)</f>
        <v>0</v>
      </c>
      <c r="T27" s="137" t="s">
        <v>83</v>
      </c>
      <c r="U27" s="188" t="s">
        <v>85</v>
      </c>
    </row>
    <row r="28" spans="1:21" x14ac:dyDescent="0.25">
      <c r="E28" s="36">
        <f t="shared" ref="E28:E39" si="12">$G$3*H10</f>
        <v>0</v>
      </c>
      <c r="F28" s="125"/>
      <c r="H28" s="4">
        <v>6</v>
      </c>
      <c r="I28" s="37" t="str">
        <f t="shared" ref="I28:I39" si="13">IF(P10-E28&gt;0,P10-E28,"")</f>
        <v/>
      </c>
      <c r="J28" s="21" t="str">
        <f t="shared" ref="J28:J39" si="14">IF(Q10-E28&gt;0,Q10-E28,"")</f>
        <v/>
      </c>
      <c r="K28" s="22" t="str">
        <f t="shared" ref="K28:K39" si="15">IF(R10-E28&gt;0,R10-E28,"")</f>
        <v/>
      </c>
      <c r="L28" s="21" t="str">
        <f>IF(S10-E28&gt;0,S10-E28,"")</f>
        <v/>
      </c>
      <c r="M28" s="131" t="str">
        <f>IF(T10-E28&gt;0,T10-E28,"")</f>
        <v/>
      </c>
      <c r="O28" s="38"/>
    </row>
    <row r="29" spans="1:21" x14ac:dyDescent="0.25">
      <c r="E29" s="36">
        <f t="shared" si="12"/>
        <v>0</v>
      </c>
      <c r="F29" s="125"/>
      <c r="H29" s="4">
        <v>10</v>
      </c>
      <c r="I29" s="37" t="str">
        <f t="shared" si="13"/>
        <v/>
      </c>
      <c r="J29" s="21" t="str">
        <f t="shared" si="14"/>
        <v/>
      </c>
      <c r="K29" s="22" t="str">
        <f t="shared" si="15"/>
        <v/>
      </c>
      <c r="L29" s="21" t="str">
        <f t="shared" ref="L29:L39" si="16">IF(S11-E29&gt;0,S11-E29,"")</f>
        <v/>
      </c>
      <c r="M29" s="21" t="str">
        <f t="shared" ref="M29:M39" si="17">IF(T11-E29&gt;0,T11-E29,"")</f>
        <v/>
      </c>
    </row>
    <row r="30" spans="1:21" x14ac:dyDescent="0.25">
      <c r="E30" s="36">
        <f t="shared" si="12"/>
        <v>0</v>
      </c>
      <c r="F30" s="125"/>
      <c r="H30" s="4">
        <v>12</v>
      </c>
      <c r="I30" s="37" t="str">
        <f t="shared" si="13"/>
        <v/>
      </c>
      <c r="J30" s="21" t="str">
        <f t="shared" si="14"/>
        <v/>
      </c>
      <c r="K30" s="22" t="str">
        <f t="shared" si="15"/>
        <v/>
      </c>
      <c r="L30" s="21" t="str">
        <f t="shared" si="16"/>
        <v/>
      </c>
      <c r="M30" s="21" t="str">
        <f t="shared" si="17"/>
        <v/>
      </c>
    </row>
    <row r="31" spans="1:21" x14ac:dyDescent="0.25">
      <c r="E31" s="36">
        <f t="shared" si="12"/>
        <v>0</v>
      </c>
      <c r="F31" s="125"/>
      <c r="H31" s="4">
        <v>15</v>
      </c>
      <c r="I31" s="37" t="str">
        <f t="shared" si="13"/>
        <v/>
      </c>
      <c r="J31" s="21" t="str">
        <f t="shared" si="14"/>
        <v/>
      </c>
      <c r="K31" s="22" t="str">
        <f t="shared" si="15"/>
        <v/>
      </c>
      <c r="L31" s="21" t="str">
        <f t="shared" si="16"/>
        <v/>
      </c>
      <c r="M31" s="21" t="str">
        <f t="shared" si="17"/>
        <v/>
      </c>
    </row>
    <row r="32" spans="1:21" x14ac:dyDescent="0.25">
      <c r="E32" s="36">
        <f t="shared" si="12"/>
        <v>0</v>
      </c>
      <c r="F32" s="125"/>
      <c r="H32" s="4">
        <v>20</v>
      </c>
      <c r="I32" s="37" t="str">
        <f t="shared" si="13"/>
        <v/>
      </c>
      <c r="J32" s="21" t="str">
        <f t="shared" si="14"/>
        <v/>
      </c>
      <c r="K32" s="22" t="str">
        <f t="shared" si="15"/>
        <v/>
      </c>
      <c r="L32" s="21" t="str">
        <f t="shared" si="16"/>
        <v/>
      </c>
      <c r="M32" s="21" t="str">
        <f t="shared" si="17"/>
        <v/>
      </c>
      <c r="O32" s="38"/>
    </row>
    <row r="33" spans="5:15" x14ac:dyDescent="0.25">
      <c r="E33" s="36">
        <f t="shared" si="12"/>
        <v>0</v>
      </c>
      <c r="F33" s="125"/>
      <c r="H33" s="4">
        <v>30</v>
      </c>
      <c r="I33" s="37" t="str">
        <f t="shared" si="13"/>
        <v/>
      </c>
      <c r="J33" s="21" t="str">
        <f t="shared" si="14"/>
        <v/>
      </c>
      <c r="K33" s="22" t="str">
        <f t="shared" si="15"/>
        <v/>
      </c>
      <c r="L33" s="21" t="str">
        <f t="shared" si="16"/>
        <v/>
      </c>
      <c r="M33" s="21" t="str">
        <f t="shared" si="17"/>
        <v/>
      </c>
      <c r="O33" s="38"/>
    </row>
    <row r="34" spans="5:15" x14ac:dyDescent="0.25">
      <c r="E34" s="36">
        <f t="shared" si="12"/>
        <v>0</v>
      </c>
      <c r="F34" s="125"/>
      <c r="H34" s="4">
        <v>45</v>
      </c>
      <c r="I34" s="37" t="str">
        <f t="shared" si="13"/>
        <v/>
      </c>
      <c r="J34" s="21" t="str">
        <f t="shared" si="14"/>
        <v/>
      </c>
      <c r="K34" s="22" t="str">
        <f t="shared" si="15"/>
        <v/>
      </c>
      <c r="L34" s="21" t="str">
        <f t="shared" si="16"/>
        <v/>
      </c>
      <c r="M34" s="21" t="str">
        <f t="shared" si="17"/>
        <v/>
      </c>
      <c r="O34" s="38"/>
    </row>
    <row r="35" spans="5:15" x14ac:dyDescent="0.25">
      <c r="E35" s="36">
        <f t="shared" si="12"/>
        <v>0</v>
      </c>
      <c r="F35" s="125"/>
      <c r="H35" s="4">
        <v>60</v>
      </c>
      <c r="I35" s="37" t="str">
        <f t="shared" si="13"/>
        <v/>
      </c>
      <c r="J35" s="21" t="str">
        <f t="shared" si="14"/>
        <v/>
      </c>
      <c r="K35" s="22" t="str">
        <f t="shared" si="15"/>
        <v/>
      </c>
      <c r="L35" s="21" t="str">
        <f t="shared" si="16"/>
        <v/>
      </c>
      <c r="M35" s="21" t="str">
        <f t="shared" si="17"/>
        <v/>
      </c>
      <c r="O35" s="38"/>
    </row>
    <row r="36" spans="5:15" x14ac:dyDescent="0.25">
      <c r="E36" s="36">
        <f t="shared" si="12"/>
        <v>0</v>
      </c>
      <c r="F36" s="125"/>
      <c r="H36" s="4">
        <v>75</v>
      </c>
      <c r="I36" s="37" t="str">
        <f t="shared" si="13"/>
        <v/>
      </c>
      <c r="J36" s="21" t="str">
        <f t="shared" si="14"/>
        <v/>
      </c>
      <c r="K36" s="22" t="str">
        <f t="shared" si="15"/>
        <v/>
      </c>
      <c r="L36" s="21" t="str">
        <f t="shared" si="16"/>
        <v/>
      </c>
      <c r="M36" s="21" t="str">
        <f t="shared" si="17"/>
        <v/>
      </c>
      <c r="O36" s="38"/>
    </row>
    <row r="37" spans="5:15" x14ac:dyDescent="0.25">
      <c r="E37" s="36">
        <f t="shared" si="12"/>
        <v>0</v>
      </c>
      <c r="F37" s="125"/>
      <c r="H37" s="4">
        <v>90</v>
      </c>
      <c r="I37" s="37" t="str">
        <f t="shared" si="13"/>
        <v/>
      </c>
      <c r="J37" s="21" t="str">
        <f t="shared" si="14"/>
        <v/>
      </c>
      <c r="K37" s="22" t="str">
        <f t="shared" si="15"/>
        <v/>
      </c>
      <c r="L37" s="21" t="str">
        <f t="shared" si="16"/>
        <v/>
      </c>
      <c r="M37" s="21" t="str">
        <f t="shared" si="17"/>
        <v/>
      </c>
      <c r="O37" s="38"/>
    </row>
    <row r="38" spans="5:15" x14ac:dyDescent="0.25">
      <c r="E38" s="36">
        <f t="shared" si="12"/>
        <v>0</v>
      </c>
      <c r="F38" s="125"/>
      <c r="H38" s="4">
        <v>105</v>
      </c>
      <c r="I38" s="37" t="str">
        <f t="shared" si="13"/>
        <v/>
      </c>
      <c r="J38" s="21" t="str">
        <f t="shared" si="14"/>
        <v/>
      </c>
      <c r="K38" s="22" t="str">
        <f t="shared" si="15"/>
        <v/>
      </c>
      <c r="L38" s="21" t="str">
        <f>IF(S20-E38&gt;0,S20-E38,"")</f>
        <v/>
      </c>
      <c r="M38" s="21" t="str">
        <f t="shared" si="17"/>
        <v/>
      </c>
      <c r="O38" s="38"/>
    </row>
    <row r="39" spans="5:15" x14ac:dyDescent="0.25">
      <c r="E39" s="39">
        <f t="shared" si="12"/>
        <v>0</v>
      </c>
      <c r="F39" s="125"/>
      <c r="H39" s="5">
        <v>120</v>
      </c>
      <c r="I39" s="40" t="str">
        <f t="shared" si="13"/>
        <v/>
      </c>
      <c r="J39" s="27" t="str">
        <f t="shared" si="14"/>
        <v/>
      </c>
      <c r="K39" s="28" t="str">
        <f t="shared" si="15"/>
        <v/>
      </c>
      <c r="L39" s="27" t="str">
        <f t="shared" si="16"/>
        <v/>
      </c>
      <c r="M39" s="27" t="str">
        <f t="shared" si="17"/>
        <v/>
      </c>
      <c r="O39" s="38"/>
    </row>
  </sheetData>
  <conditionalFormatting sqref="M28:M39">
    <cfRule type="top10" dxfId="67" priority="9" rank="1"/>
  </conditionalFormatting>
  <conditionalFormatting sqref="L28:L39">
    <cfRule type="top10" dxfId="66" priority="8" rank="1"/>
  </conditionalFormatting>
  <conditionalFormatting sqref="K28:K39">
    <cfRule type="top10" dxfId="65" priority="7" rank="1"/>
  </conditionalFormatting>
  <conditionalFormatting sqref="J28:J39">
    <cfRule type="top10" dxfId="64" priority="6" rank="1"/>
  </conditionalFormatting>
  <conditionalFormatting sqref="I28:I39">
    <cfRule type="top10" dxfId="63" priority="5" rank="1"/>
  </conditionalFormatting>
  <conditionalFormatting sqref="S26">
    <cfRule type="cellIs" dxfId="62" priority="4" operator="equal">
      <formula>$M$39</formula>
    </cfRule>
  </conditionalFormatting>
  <conditionalFormatting sqref="S27">
    <cfRule type="cellIs" dxfId="61" priority="3" operator="equal">
      <formula>$L$39</formula>
    </cfRule>
  </conditionalFormatting>
  <conditionalFormatting sqref="U26">
    <cfRule type="expression" dxfId="60" priority="2">
      <formula>$M$39&lt;$S$26</formula>
    </cfRule>
  </conditionalFormatting>
  <conditionalFormatting sqref="U27">
    <cfRule type="expression" dxfId="59" priority="1">
      <formula>$L$39&lt;$S$27</formula>
    </cfRule>
  </conditionalFormatting>
  <pageMargins left="0" right="0" top="0" bottom="0" header="0.55000000000000004" footer="0.51181102362204722"/>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1:H33"/>
  <sheetViews>
    <sheetView topLeftCell="A7" zoomScale="90" zoomScaleNormal="90" workbookViewId="0">
      <selection activeCell="E16" sqref="E16"/>
    </sheetView>
  </sheetViews>
  <sheetFormatPr baseColWidth="10" defaultColWidth="11.44140625" defaultRowHeight="13.2" x14ac:dyDescent="0.25"/>
  <cols>
    <col min="1" max="1" width="11.44140625" style="248"/>
    <col min="2" max="2" width="3.6640625" style="248" customWidth="1"/>
    <col min="3" max="3" width="34.6640625" style="248" customWidth="1"/>
    <col min="4" max="4" width="18.6640625" style="248" customWidth="1"/>
    <col min="5" max="5" width="14.88671875" style="248" customWidth="1"/>
    <col min="6" max="6" width="18.6640625" style="248" customWidth="1"/>
    <col min="7" max="7" width="3.6640625" style="248" customWidth="1"/>
    <col min="8" max="8" width="51.44140625" style="248" customWidth="1"/>
    <col min="9" max="9" width="11.44140625" style="248"/>
    <col min="10" max="10" width="18.6640625" style="248" customWidth="1"/>
    <col min="11" max="11" width="21.33203125" style="248" customWidth="1"/>
    <col min="12" max="16384" width="11.44140625" style="248"/>
  </cols>
  <sheetData>
    <row r="1" spans="2:8" ht="23.4" customHeight="1" x14ac:dyDescent="0.25">
      <c r="B1" s="203"/>
      <c r="C1" s="242" t="s">
        <v>116</v>
      </c>
      <c r="D1" s="205"/>
      <c r="E1" s="205"/>
      <c r="F1" s="205"/>
      <c r="G1" s="206"/>
    </row>
    <row r="2" spans="2:8" ht="31.2" customHeight="1" x14ac:dyDescent="0.3">
      <c r="B2" s="203"/>
      <c r="C2" s="229" t="s">
        <v>110</v>
      </c>
      <c r="D2" s="247"/>
      <c r="E2" s="247"/>
      <c r="F2" s="247"/>
      <c r="G2" s="206"/>
    </row>
    <row r="3" spans="2:8" ht="13.8" x14ac:dyDescent="0.25">
      <c r="B3" s="203"/>
      <c r="C3" s="247"/>
      <c r="D3" s="207"/>
      <c r="E3" s="207"/>
      <c r="G3" s="206"/>
    </row>
    <row r="4" spans="2:8" ht="27.6" x14ac:dyDescent="0.25">
      <c r="B4" s="203"/>
      <c r="C4" s="210" t="s">
        <v>95</v>
      </c>
      <c r="D4" s="208" t="s">
        <v>96</v>
      </c>
      <c r="E4" s="208" t="s">
        <v>103</v>
      </c>
      <c r="F4" s="208" t="s">
        <v>172</v>
      </c>
      <c r="G4" s="206"/>
    </row>
    <row r="5" spans="2:8" ht="25.2" customHeight="1" x14ac:dyDescent="0.25">
      <c r="B5" s="203"/>
      <c r="C5" s="211" t="s">
        <v>97</v>
      </c>
      <c r="D5" s="225"/>
      <c r="E5" s="249">
        <v>1</v>
      </c>
      <c r="F5" s="291">
        <f>D5*E5</f>
        <v>0</v>
      </c>
      <c r="G5" s="206"/>
    </row>
    <row r="6" spans="2:8" ht="29.4" customHeight="1" x14ac:dyDescent="0.25">
      <c r="B6" s="203"/>
      <c r="C6" s="211" t="s">
        <v>133</v>
      </c>
      <c r="D6" s="225"/>
      <c r="E6" s="262">
        <v>0.5</v>
      </c>
      <c r="F6" s="291">
        <f t="shared" ref="F6:F10" si="0">D6*E6</f>
        <v>0</v>
      </c>
      <c r="G6" s="206"/>
      <c r="H6" s="254"/>
    </row>
    <row r="7" spans="2:8" ht="25.2" customHeight="1" x14ac:dyDescent="0.25">
      <c r="B7" s="203"/>
      <c r="C7" s="211" t="s">
        <v>98</v>
      </c>
      <c r="D7" s="225"/>
      <c r="E7" s="250">
        <v>0.3</v>
      </c>
      <c r="F7" s="291">
        <f t="shared" si="0"/>
        <v>0</v>
      </c>
      <c r="G7" s="206"/>
    </row>
    <row r="8" spans="2:8" ht="25.2" customHeight="1" x14ac:dyDescent="0.25">
      <c r="B8" s="203"/>
      <c r="C8" s="211" t="s">
        <v>164</v>
      </c>
      <c r="D8" s="225"/>
      <c r="E8" s="250">
        <v>1</v>
      </c>
      <c r="F8" s="291">
        <f t="shared" si="0"/>
        <v>0</v>
      </c>
      <c r="G8" s="206"/>
      <c r="H8" s="254"/>
    </row>
    <row r="9" spans="2:8" ht="25.2" customHeight="1" x14ac:dyDescent="0.25">
      <c r="B9" s="203"/>
      <c r="C9" s="211" t="s">
        <v>99</v>
      </c>
      <c r="D9" s="225"/>
      <c r="E9" s="249">
        <v>0</v>
      </c>
      <c r="F9" s="291">
        <f t="shared" si="0"/>
        <v>0</v>
      </c>
      <c r="G9" s="206"/>
    </row>
    <row r="10" spans="2:8" ht="25.2" customHeight="1" x14ac:dyDescent="0.25">
      <c r="B10" s="203"/>
      <c r="C10" s="211" t="s">
        <v>101</v>
      </c>
      <c r="D10" s="225"/>
      <c r="E10" s="225">
        <f>'Estimation de V30'!E10</f>
        <v>0</v>
      </c>
      <c r="F10" s="291">
        <f t="shared" si="0"/>
        <v>0</v>
      </c>
      <c r="G10" s="206"/>
    </row>
    <row r="11" spans="2:8" ht="13.8" x14ac:dyDescent="0.25">
      <c r="B11" s="203"/>
      <c r="C11" s="212" t="s">
        <v>100</v>
      </c>
      <c r="D11" s="292">
        <f>SUM(D5:D9)</f>
        <v>0</v>
      </c>
      <c r="E11" s="214"/>
      <c r="F11" s="292">
        <f>SUM(F5:F9)</f>
        <v>0</v>
      </c>
      <c r="G11" s="206"/>
    </row>
    <row r="12" spans="2:8" ht="13.8" x14ac:dyDescent="0.25">
      <c r="B12" s="203"/>
      <c r="C12" s="213"/>
      <c r="D12" s="222"/>
      <c r="E12" s="222"/>
      <c r="F12" s="222"/>
      <c r="G12" s="206"/>
    </row>
    <row r="13" spans="2:8" ht="15.6" x14ac:dyDescent="0.3">
      <c r="B13" s="203"/>
      <c r="C13" s="229" t="s">
        <v>111</v>
      </c>
      <c r="D13" s="222"/>
      <c r="E13" s="222"/>
      <c r="F13" s="222"/>
      <c r="G13" s="206"/>
    </row>
    <row r="14" spans="2:8" s="263" customFormat="1" ht="24.6" customHeight="1" x14ac:dyDescent="0.25">
      <c r="B14" s="230"/>
      <c r="C14" s="231" t="s">
        <v>112</v>
      </c>
      <c r="D14" s="232"/>
      <c r="E14" s="232"/>
      <c r="F14" s="232"/>
      <c r="G14" s="233"/>
    </row>
    <row r="15" spans="2:8" ht="25.2" customHeight="1" x14ac:dyDescent="0.25">
      <c r="B15" s="203"/>
      <c r="C15" s="305" t="s">
        <v>107</v>
      </c>
      <c r="D15" s="305"/>
      <c r="E15" s="227"/>
      <c r="F15" s="236" t="s">
        <v>106</v>
      </c>
      <c r="G15" s="206"/>
    </row>
    <row r="16" spans="2:8" ht="25.2" customHeight="1" x14ac:dyDescent="0.25">
      <c r="B16" s="203"/>
      <c r="C16" s="305" t="s">
        <v>108</v>
      </c>
      <c r="D16" s="305"/>
      <c r="E16" s="227"/>
      <c r="F16" s="236" t="s">
        <v>88</v>
      </c>
      <c r="G16" s="206"/>
    </row>
    <row r="17" spans="2:8" ht="25.2" customHeight="1" x14ac:dyDescent="0.25">
      <c r="B17" s="203"/>
      <c r="C17" s="305" t="s">
        <v>109</v>
      </c>
      <c r="D17" s="305"/>
      <c r="E17" s="294">
        <f>IF(OR(ISBLANK(E15),E15=0),E16,E15/1000/3600)</f>
        <v>0</v>
      </c>
      <c r="F17" s="237" t="s">
        <v>88</v>
      </c>
      <c r="G17" s="206"/>
    </row>
    <row r="18" spans="2:8" ht="25.2" customHeight="1" x14ac:dyDescent="0.25">
      <c r="B18" s="203"/>
      <c r="C18" s="234"/>
      <c r="D18" s="234"/>
      <c r="E18" s="235"/>
      <c r="F18" s="237"/>
      <c r="G18" s="206"/>
    </row>
    <row r="19" spans="2:8" ht="15.6" x14ac:dyDescent="0.3">
      <c r="B19" s="203"/>
      <c r="C19" s="229" t="s">
        <v>118</v>
      </c>
      <c r="D19" s="222"/>
      <c r="E19" s="222"/>
      <c r="F19" s="222"/>
      <c r="G19" s="206"/>
    </row>
    <row r="20" spans="2:8" ht="63" customHeight="1" x14ac:dyDescent="0.25">
      <c r="B20" s="203"/>
      <c r="C20" s="304" t="s">
        <v>162</v>
      </c>
      <c r="D20" s="304"/>
      <c r="E20" s="304"/>
      <c r="F20" s="304"/>
      <c r="G20" s="206"/>
    </row>
    <row r="21" spans="2:8" ht="8.4" customHeight="1" x14ac:dyDescent="0.25">
      <c r="B21" s="203"/>
      <c r="C21" s="247"/>
      <c r="D21" s="247"/>
      <c r="E21" s="247"/>
      <c r="F21" s="247"/>
      <c r="G21" s="206"/>
    </row>
    <row r="22" spans="2:8" s="264" customFormat="1" ht="17.399999999999999" customHeight="1" x14ac:dyDescent="0.25">
      <c r="B22" s="203"/>
      <c r="C22" s="243" t="s">
        <v>138</v>
      </c>
      <c r="D22" s="295">
        <f>D8*E17</f>
        <v>0</v>
      </c>
      <c r="E22" s="235"/>
      <c r="F22" s="228"/>
      <c r="G22" s="206"/>
    </row>
    <row r="23" spans="2:8" s="264" customFormat="1" ht="17.399999999999999" customHeight="1" x14ac:dyDescent="0.25">
      <c r="B23" s="203"/>
      <c r="C23" s="241" t="s">
        <v>115</v>
      </c>
      <c r="D23" s="296">
        <f>D22*1000</f>
        <v>0</v>
      </c>
      <c r="E23" s="235"/>
      <c r="F23" s="228"/>
      <c r="G23" s="206"/>
    </row>
    <row r="24" spans="2:8" s="264" customFormat="1" ht="17.25" customHeight="1" x14ac:dyDescent="0.25">
      <c r="B24" s="203"/>
      <c r="C24" s="257"/>
      <c r="D24" s="257"/>
      <c r="E24" s="235"/>
      <c r="F24" s="228"/>
      <c r="G24" s="206"/>
    </row>
    <row r="25" spans="2:8" s="264" customFormat="1" ht="21" customHeight="1" thickBot="1" x14ac:dyDescent="0.3">
      <c r="B25" s="203"/>
      <c r="C25" s="213"/>
      <c r="D25" s="222" t="s">
        <v>159</v>
      </c>
      <c r="E25" s="222" t="s">
        <v>134</v>
      </c>
      <c r="F25" s="222"/>
      <c r="G25" s="206"/>
    </row>
    <row r="26" spans="2:8" s="264" customFormat="1" ht="21" customHeight="1" thickTop="1" x14ac:dyDescent="0.25">
      <c r="B26" s="203"/>
      <c r="C26" s="258" t="s">
        <v>139</v>
      </c>
      <c r="D26" s="297">
        <f>MAX('Feuille calcul V30 section A'!M28:M39)</f>
        <v>0</v>
      </c>
      <c r="E26" s="297">
        <f>0.02*(D5)</f>
        <v>0</v>
      </c>
      <c r="F26" s="222"/>
      <c r="G26" s="206"/>
    </row>
    <row r="27" spans="2:8" s="264" customFormat="1" ht="21" customHeight="1" thickBot="1" x14ac:dyDescent="0.3">
      <c r="B27" s="203"/>
      <c r="C27" s="259" t="s">
        <v>136</v>
      </c>
      <c r="D27" s="298" t="e">
        <f>D26/D8</f>
        <v>#DIV/0!</v>
      </c>
      <c r="E27" s="298" t="e">
        <f>E26/D8</f>
        <v>#DIV/0!</v>
      </c>
      <c r="F27" s="222"/>
      <c r="G27" s="206"/>
      <c r="H27" s="265"/>
    </row>
    <row r="28" spans="2:8" s="264" customFormat="1" ht="21" customHeight="1" thickTop="1" x14ac:dyDescent="0.25">
      <c r="B28" s="203"/>
      <c r="C28" s="259" t="s">
        <v>137</v>
      </c>
      <c r="D28" s="299" t="e">
        <f>(D26/D22)/3600</f>
        <v>#DIV/0!</v>
      </c>
      <c r="E28" s="297" t="e">
        <f>(E26/D22)/3600</f>
        <v>#DIV/0!</v>
      </c>
      <c r="F28" s="222"/>
      <c r="G28" s="206"/>
      <c r="H28" s="265"/>
    </row>
    <row r="29" spans="2:8" s="264" customFormat="1" ht="30" customHeight="1" thickBot="1" x14ac:dyDescent="0.3">
      <c r="B29" s="203"/>
      <c r="C29" s="260" t="s">
        <v>142</v>
      </c>
      <c r="D29" s="300" t="e">
        <f>IF($D28&gt;72,"Attention vidange trop longue","Non concerné")</f>
        <v>#DIV/0!</v>
      </c>
      <c r="E29" s="300" t="e">
        <f>IF($E28&gt;24,"Attention vidange trop longue","Non concerné")</f>
        <v>#DIV/0!</v>
      </c>
      <c r="F29" s="222"/>
      <c r="G29" s="206"/>
    </row>
    <row r="30" spans="2:8" s="264" customFormat="1" ht="17.25" customHeight="1" thickTop="1" x14ac:dyDescent="0.25">
      <c r="B30" s="203"/>
      <c r="C30" s="261"/>
      <c r="D30" s="266"/>
      <c r="E30" s="266"/>
      <c r="F30" s="222"/>
      <c r="G30" s="206"/>
      <c r="H30" s="265"/>
    </row>
    <row r="31" spans="2:8" s="264" customFormat="1" ht="16.5" customHeight="1" x14ac:dyDescent="0.25">
      <c r="B31" s="203"/>
      <c r="C31" s="261" t="s">
        <v>141</v>
      </c>
      <c r="D31" s="266"/>
      <c r="E31" s="266"/>
      <c r="F31" s="222"/>
      <c r="G31" s="206"/>
      <c r="H31" s="265"/>
    </row>
    <row r="32" spans="2:8" s="264" customFormat="1" ht="15.75" customHeight="1" x14ac:dyDescent="0.25">
      <c r="B32" s="203"/>
      <c r="C32" s="245" t="s">
        <v>140</v>
      </c>
      <c r="D32" s="266"/>
      <c r="E32" s="266"/>
      <c r="F32" s="281" t="s">
        <v>105</v>
      </c>
      <c r="G32" s="206"/>
      <c r="H32" s="265"/>
    </row>
    <row r="33" spans="2:7" ht="13.8" x14ac:dyDescent="0.25">
      <c r="B33" s="217"/>
      <c r="C33" s="218"/>
      <c r="D33" s="219"/>
      <c r="E33" s="219"/>
      <c r="F33" s="220"/>
      <c r="G33" s="221"/>
    </row>
  </sheetData>
  <sheetProtection algorithmName="SHA-512" hashValue="5WwlI3QtuZmTMMbpS3nlLCHuDKoG8o2ww/li0rypnMYjxrDgJttqGj6+OiMXfaGy9KRWt1EhCmMQuoem7EJTsA==" saltValue="LibdlE8sb0F5xmF873McNw==" spinCount="100000" sheet="1" objects="1" scenarios="1"/>
  <mergeCells count="4">
    <mergeCell ref="C20:F20"/>
    <mergeCell ref="C15:D15"/>
    <mergeCell ref="C16:D16"/>
    <mergeCell ref="C17:D17"/>
  </mergeCells>
  <conditionalFormatting sqref="D11:E14 D33:E33 D25">
    <cfRule type="cellIs" dxfId="58" priority="15" operator="greaterThan">
      <formula>#REF!</formula>
    </cfRule>
    <cfRule type="cellIs" dxfId="57" priority="16" operator="greaterThan">
      <formula>#REF!</formula>
    </cfRule>
  </conditionalFormatting>
  <conditionalFormatting sqref="F11:F14 F25:F31">
    <cfRule type="cellIs" dxfId="56" priority="13" operator="greaterThan">
      <formula>#REF!</formula>
    </cfRule>
    <cfRule type="cellIs" dxfId="55" priority="14" operator="greaterThan">
      <formula>#REF!</formula>
    </cfRule>
  </conditionalFormatting>
  <conditionalFormatting sqref="D29">
    <cfRule type="cellIs" dxfId="54" priority="11" operator="equal">
      <formula>"Attention vidange trop longue"</formula>
    </cfRule>
  </conditionalFormatting>
  <conditionalFormatting sqref="D19:E19">
    <cfRule type="cellIs" dxfId="53" priority="9" operator="greaterThan">
      <formula>#REF!</formula>
    </cfRule>
    <cfRule type="cellIs" dxfId="52" priority="10" operator="greaterThan">
      <formula>#REF!</formula>
    </cfRule>
  </conditionalFormatting>
  <conditionalFormatting sqref="F19">
    <cfRule type="cellIs" dxfId="51" priority="7" operator="greaterThan">
      <formula>#REF!</formula>
    </cfRule>
    <cfRule type="cellIs" dxfId="50" priority="8" operator="greaterThan">
      <formula>#REF!</formula>
    </cfRule>
  </conditionalFormatting>
  <conditionalFormatting sqref="E29">
    <cfRule type="cellIs" dxfId="49" priority="4" operator="equal">
      <formula>"Attention vidange trop longue"</formula>
    </cfRule>
  </conditionalFormatting>
  <conditionalFormatting sqref="E25">
    <cfRule type="cellIs" dxfId="48" priority="2" operator="greaterThan">
      <formula>#REF!</formula>
    </cfRule>
    <cfRule type="cellIs" dxfId="47" priority="3" operator="greaterThan">
      <formula>#REF!</formula>
    </cfRule>
  </conditionalFormatting>
  <hyperlinks>
    <hyperlink ref="F32" location="'Section B'!A1" display="Section B"/>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9"/>
  <sheetViews>
    <sheetView zoomScale="80" zoomScaleNormal="80" workbookViewId="0">
      <selection activeCell="U34" sqref="U34"/>
    </sheetView>
  </sheetViews>
  <sheetFormatPr baseColWidth="10" defaultColWidth="11.44140625" defaultRowHeight="13.2" x14ac:dyDescent="0.25"/>
  <cols>
    <col min="1" max="1" width="6.6640625" style="1" customWidth="1"/>
    <col min="2" max="4" width="8.33203125" style="1" customWidth="1"/>
    <col min="5" max="6" width="9.109375" style="1" customWidth="1"/>
    <col min="7" max="7" width="11.109375" style="1" customWidth="1"/>
    <col min="8" max="8" width="7.33203125" style="1" customWidth="1"/>
    <col min="9" max="13" width="8.33203125" style="1" customWidth="1"/>
    <col min="14" max="14" width="4.5546875" style="1" customWidth="1"/>
    <col min="15" max="15" width="7.6640625" style="1" customWidth="1"/>
    <col min="16" max="19" width="8.33203125" style="1" customWidth="1"/>
    <col min="20" max="20" width="9.109375" style="1" bestFit="1" customWidth="1"/>
    <col min="21" max="21" width="9" style="1" customWidth="1"/>
    <col min="22" max="22" width="32.88671875" style="1" customWidth="1"/>
    <col min="23" max="16384" width="11.44140625" style="1"/>
  </cols>
  <sheetData>
    <row r="1" spans="1:25" ht="17.399999999999999" x14ac:dyDescent="0.3">
      <c r="A1" s="42" t="s">
        <v>0</v>
      </c>
      <c r="C1" s="9"/>
      <c r="D1" s="8"/>
      <c r="E1" s="8"/>
      <c r="F1" s="8"/>
      <c r="G1" s="215">
        <f>'Section A'!F11</f>
        <v>0</v>
      </c>
      <c r="H1" s="10" t="s">
        <v>1</v>
      </c>
      <c r="I1" s="8"/>
    </row>
    <row r="2" spans="1:25" ht="21" x14ac:dyDescent="0.45">
      <c r="A2" s="42" t="s">
        <v>2</v>
      </c>
      <c r="C2" s="8"/>
      <c r="D2" s="8"/>
      <c r="E2" s="8"/>
      <c r="F2" s="8"/>
      <c r="G2" s="142">
        <f>'Section A'!D22</f>
        <v>0</v>
      </c>
      <c r="H2" s="11" t="s">
        <v>3</v>
      </c>
      <c r="I2" s="8"/>
      <c r="J2" s="12"/>
    </row>
    <row r="3" spans="1:25" ht="19.2" x14ac:dyDescent="0.3">
      <c r="A3" s="8"/>
      <c r="B3" s="8"/>
      <c r="C3" s="8"/>
      <c r="D3" s="8"/>
      <c r="E3" s="8"/>
      <c r="F3" s="8"/>
      <c r="G3" s="41">
        <f>G2*60</f>
        <v>0</v>
      </c>
      <c r="H3" s="11" t="s">
        <v>4</v>
      </c>
      <c r="I3" s="8"/>
      <c r="V3" s="43"/>
      <c r="W3" s="132" t="s">
        <v>65</v>
      </c>
      <c r="X3" s="133" t="s">
        <v>25</v>
      </c>
      <c r="Y3" s="141" t="s">
        <v>81</v>
      </c>
    </row>
    <row r="4" spans="1:25" ht="17.399999999999999" x14ac:dyDescent="0.3">
      <c r="B4" s="13"/>
      <c r="C4" s="13"/>
      <c r="D4" s="2"/>
      <c r="E4" s="2"/>
      <c r="F4" s="2"/>
      <c r="G4" s="2"/>
      <c r="H4" s="14"/>
      <c r="I4" s="15"/>
      <c r="V4" s="135" t="s">
        <v>55</v>
      </c>
      <c r="W4" s="144"/>
      <c r="X4" s="134">
        <v>0.95</v>
      </c>
      <c r="Y4" s="134">
        <f t="shared" ref="Y4:Y8" si="0">W4*X4</f>
        <v>0</v>
      </c>
    </row>
    <row r="5" spans="1:25" ht="17.399999999999999" x14ac:dyDescent="0.3">
      <c r="B5" s="13"/>
      <c r="C5" s="13"/>
      <c r="D5" s="2"/>
      <c r="E5" s="2"/>
      <c r="F5" s="2"/>
      <c r="G5" s="2"/>
      <c r="H5" s="14"/>
      <c r="I5" s="15"/>
      <c r="V5" s="135" t="s">
        <v>56</v>
      </c>
      <c r="W5" s="144"/>
      <c r="X5" s="134">
        <v>0.2</v>
      </c>
      <c r="Y5" s="134">
        <f t="shared" si="0"/>
        <v>0</v>
      </c>
    </row>
    <row r="6" spans="1:25" ht="17.399999999999999" x14ac:dyDescent="0.3">
      <c r="B6" s="13"/>
      <c r="C6" s="13"/>
      <c r="D6" s="2"/>
      <c r="E6" s="2"/>
      <c r="F6" s="2"/>
      <c r="G6" s="2"/>
      <c r="H6" s="14"/>
      <c r="I6" s="15"/>
      <c r="V6" s="135" t="s">
        <v>57</v>
      </c>
      <c r="W6" s="144"/>
      <c r="X6" s="134">
        <v>0.4</v>
      </c>
      <c r="Y6" s="134">
        <f t="shared" si="0"/>
        <v>0</v>
      </c>
    </row>
    <row r="7" spans="1:25" ht="17.399999999999999" x14ac:dyDescent="0.3">
      <c r="B7" s="13"/>
      <c r="C7" s="13"/>
      <c r="D7" s="2"/>
      <c r="E7" s="2"/>
      <c r="F7" s="2"/>
      <c r="G7" s="2"/>
      <c r="H7" s="14"/>
      <c r="I7" s="15"/>
      <c r="V7" s="136" t="s">
        <v>79</v>
      </c>
      <c r="W7" s="144">
        <v>1000</v>
      </c>
      <c r="X7" s="134">
        <v>1</v>
      </c>
      <c r="Y7" s="134">
        <f t="shared" si="0"/>
        <v>1000</v>
      </c>
    </row>
    <row r="8" spans="1:25" ht="15.6" x14ac:dyDescent="0.25">
      <c r="A8" s="16" t="s">
        <v>5</v>
      </c>
      <c r="B8" s="6"/>
      <c r="C8" s="126" t="s">
        <v>6</v>
      </c>
      <c r="D8" s="127"/>
      <c r="E8" s="127"/>
      <c r="F8" s="7"/>
      <c r="H8" s="16" t="s">
        <v>5</v>
      </c>
      <c r="I8" s="128" t="s">
        <v>7</v>
      </c>
      <c r="J8" s="127"/>
      <c r="K8" s="127"/>
      <c r="L8" s="127"/>
      <c r="M8" s="7"/>
      <c r="O8" s="16" t="s">
        <v>5</v>
      </c>
      <c r="P8" s="128" t="s">
        <v>8</v>
      </c>
      <c r="Q8" s="127"/>
      <c r="R8" s="127"/>
      <c r="S8" s="127"/>
      <c r="T8" s="7"/>
      <c r="V8" s="135" t="s">
        <v>58</v>
      </c>
      <c r="W8" s="144"/>
      <c r="X8" s="134">
        <v>0.95</v>
      </c>
      <c r="Y8" s="134">
        <f t="shared" si="0"/>
        <v>0</v>
      </c>
    </row>
    <row r="9" spans="1:25" x14ac:dyDescent="0.25">
      <c r="A9" s="17" t="s">
        <v>9</v>
      </c>
      <c r="B9" s="146" t="s">
        <v>10</v>
      </c>
      <c r="C9" s="146" t="s">
        <v>11</v>
      </c>
      <c r="D9" s="147" t="s">
        <v>12</v>
      </c>
      <c r="E9" s="145" t="s">
        <v>13</v>
      </c>
      <c r="F9" s="33" t="s">
        <v>48</v>
      </c>
      <c r="H9" s="17" t="s">
        <v>9</v>
      </c>
      <c r="I9" s="146" t="s">
        <v>10</v>
      </c>
      <c r="J9" s="146" t="s">
        <v>11</v>
      </c>
      <c r="K9" s="147" t="s">
        <v>12</v>
      </c>
      <c r="L9" s="145" t="s">
        <v>13</v>
      </c>
      <c r="M9" s="33" t="s">
        <v>48</v>
      </c>
      <c r="O9" s="17" t="s">
        <v>9</v>
      </c>
      <c r="P9" s="146" t="s">
        <v>10</v>
      </c>
      <c r="Q9" s="146" t="s">
        <v>11</v>
      </c>
      <c r="R9" s="147" t="s">
        <v>12</v>
      </c>
      <c r="S9" s="148" t="s">
        <v>13</v>
      </c>
      <c r="T9" s="33" t="s">
        <v>48</v>
      </c>
      <c r="V9" s="135" t="s">
        <v>59</v>
      </c>
      <c r="W9" s="144"/>
      <c r="X9" s="134">
        <v>0.95</v>
      </c>
      <c r="Y9" s="134">
        <f>W9*X9</f>
        <v>0</v>
      </c>
    </row>
    <row r="10" spans="1:25" x14ac:dyDescent="0.25">
      <c r="A10" s="3">
        <v>6</v>
      </c>
      <c r="B10" s="44">
        <f>paramètres!$S$8*POWER(H10,paramètres!$T$8)</f>
        <v>1.5464087460099218</v>
      </c>
      <c r="C10" s="44">
        <f>paramètres!$S$9*POWER(H10,paramètres!$T$9)</f>
        <v>1.7890899429951446</v>
      </c>
      <c r="D10" s="45">
        <f>paramètres!$S$10*POWER(H10,paramètres!$T$10)</f>
        <v>1.832826513687118</v>
      </c>
      <c r="E10" s="44">
        <f>paramètres!$S$11*POWER(H10,paramètres!$T$11)</f>
        <v>2.12137284187046</v>
      </c>
      <c r="F10" s="130">
        <v>2.15</v>
      </c>
      <c r="H10" s="3">
        <v>6</v>
      </c>
      <c r="I10" s="44">
        <f t="shared" ref="I10:I21" si="1">H10*B10</f>
        <v>9.2784524760595311</v>
      </c>
      <c r="J10" s="45">
        <f t="shared" ref="J10:J21" si="2">H10*C10</f>
        <v>10.734539657970867</v>
      </c>
      <c r="K10" s="44">
        <f t="shared" ref="K10:K21" si="3">H10*D10</f>
        <v>10.996959082122707</v>
      </c>
      <c r="L10" s="130">
        <f>H10*E10</f>
        <v>12.728237051222759</v>
      </c>
      <c r="M10" s="130">
        <f>H10*F10</f>
        <v>12.899999999999999</v>
      </c>
      <c r="O10" s="4">
        <v>6</v>
      </c>
      <c r="P10" s="21">
        <f t="shared" ref="P10:T21" si="4">I10*$G$1*0.001</f>
        <v>0</v>
      </c>
      <c r="Q10" s="22">
        <f t="shared" si="4"/>
        <v>0</v>
      </c>
      <c r="R10" s="21">
        <f t="shared" si="4"/>
        <v>0</v>
      </c>
      <c r="S10" s="23">
        <f t="shared" si="4"/>
        <v>0</v>
      </c>
      <c r="T10" s="23">
        <f t="shared" si="4"/>
        <v>0</v>
      </c>
      <c r="V10" s="135" t="s">
        <v>60</v>
      </c>
      <c r="W10" s="144"/>
      <c r="X10" s="134">
        <v>0.95</v>
      </c>
      <c r="Y10" s="134">
        <f>W10*X10</f>
        <v>0</v>
      </c>
    </row>
    <row r="11" spans="1:25" x14ac:dyDescent="0.25">
      <c r="A11" s="4">
        <v>10</v>
      </c>
      <c r="B11" s="18">
        <f>paramètres!$S$8*POWER(H11,paramètres!$T$8)</f>
        <v>1.0798529679827462</v>
      </c>
      <c r="C11" s="18">
        <f>paramètres!$S$9*POWER(H11,paramètres!$T$9)</f>
        <v>1.253151550936568</v>
      </c>
      <c r="D11" s="19">
        <f>paramètres!$S$10*POWER(H11,paramètres!$T$10)</f>
        <v>1.3082814511218321</v>
      </c>
      <c r="E11" s="18">
        <f>paramètres!$S$11*POWER(H11,paramètres!$T$11)</f>
        <v>1.525894688013127</v>
      </c>
      <c r="F11" s="20">
        <f>paramètres!$S$13*POWER(H11,paramètres!$T$13)</f>
        <v>1.8285698070785579</v>
      </c>
      <c r="H11" s="4">
        <v>10</v>
      </c>
      <c r="I11" s="18">
        <f t="shared" si="1"/>
        <v>10.798529679827462</v>
      </c>
      <c r="J11" s="19">
        <f t="shared" si="2"/>
        <v>12.531515509365681</v>
      </c>
      <c r="K11" s="18">
        <f t="shared" si="3"/>
        <v>13.082814511218322</v>
      </c>
      <c r="L11" s="20">
        <f t="shared" ref="L11:L19" si="5">H11*E11</f>
        <v>15.258946880131269</v>
      </c>
      <c r="M11" s="20">
        <f t="shared" ref="M11:M21" si="6">H11*F11</f>
        <v>18.285698070785578</v>
      </c>
      <c r="O11" s="4">
        <v>10</v>
      </c>
      <c r="P11" s="21">
        <f t="shared" si="4"/>
        <v>0</v>
      </c>
      <c r="Q11" s="22">
        <f t="shared" si="4"/>
        <v>0</v>
      </c>
      <c r="R11" s="21">
        <f t="shared" si="4"/>
        <v>0</v>
      </c>
      <c r="S11" s="23">
        <f t="shared" si="4"/>
        <v>0</v>
      </c>
      <c r="T11" s="23">
        <f t="shared" si="4"/>
        <v>0</v>
      </c>
      <c r="V11" s="135" t="s">
        <v>61</v>
      </c>
      <c r="W11" s="144"/>
      <c r="X11" s="134">
        <v>0.7</v>
      </c>
      <c r="Y11" s="134">
        <f t="shared" ref="Y11:Y14" si="7">W11*X11</f>
        <v>0</v>
      </c>
    </row>
    <row r="12" spans="1:25" ht="12.75" customHeight="1" x14ac:dyDescent="0.25">
      <c r="A12" s="4">
        <v>12</v>
      </c>
      <c r="B12" s="18">
        <f>paramètres!$S$8*POWER(H12,paramètres!$T$8)</f>
        <v>0.94994882589753693</v>
      </c>
      <c r="C12" s="18">
        <f>paramètres!$S$9*POWER(H12,paramètres!$T$9)</f>
        <v>1.1036065450535866</v>
      </c>
      <c r="D12" s="19">
        <f>paramètres!$S$10*POWER(H12,paramètres!$T$10)</f>
        <v>1.1599561226515145</v>
      </c>
      <c r="E12" s="18">
        <f>paramètres!$S$11*POWER(H12,paramètres!$T$11)</f>
        <v>1.3566026386329204</v>
      </c>
      <c r="F12" s="20">
        <f>paramètres!$S$13*POWER(H12,paramètres!$T$13)</f>
        <v>1.636402618168991</v>
      </c>
      <c r="H12" s="4">
        <v>12</v>
      </c>
      <c r="I12" s="18">
        <f t="shared" si="1"/>
        <v>11.399385910770443</v>
      </c>
      <c r="J12" s="19">
        <f t="shared" si="2"/>
        <v>13.24327854064304</v>
      </c>
      <c r="K12" s="18">
        <f t="shared" si="3"/>
        <v>13.919473471818174</v>
      </c>
      <c r="L12" s="20">
        <f t="shared" si="5"/>
        <v>16.279231663595045</v>
      </c>
      <c r="M12" s="20">
        <f t="shared" si="6"/>
        <v>19.636831418027892</v>
      </c>
      <c r="O12" s="4">
        <v>12</v>
      </c>
      <c r="P12" s="21">
        <f t="shared" si="4"/>
        <v>0</v>
      </c>
      <c r="Q12" s="22">
        <f t="shared" si="4"/>
        <v>0</v>
      </c>
      <c r="R12" s="21">
        <f t="shared" si="4"/>
        <v>0</v>
      </c>
      <c r="S12" s="23">
        <f t="shared" si="4"/>
        <v>0</v>
      </c>
      <c r="T12" s="23">
        <f t="shared" si="4"/>
        <v>0</v>
      </c>
      <c r="V12" s="135" t="s">
        <v>62</v>
      </c>
      <c r="W12" s="144"/>
      <c r="X12" s="134">
        <v>0.7</v>
      </c>
      <c r="Y12" s="134">
        <f t="shared" si="7"/>
        <v>0</v>
      </c>
    </row>
    <row r="13" spans="1:25" x14ac:dyDescent="0.25">
      <c r="A13" s="4">
        <v>15</v>
      </c>
      <c r="B13" s="18">
        <f>paramètres!$S$8*POWER(H13,paramètres!$T$8)</f>
        <v>0.8120307420345787</v>
      </c>
      <c r="C13" s="18">
        <f>paramètres!$S$9*POWER(H13,paramètres!$T$9)</f>
        <v>0.9446436039661279</v>
      </c>
      <c r="D13" s="19">
        <f>paramètres!$S$10*POWER(H13,paramètres!$T$10)</f>
        <v>1.0011080486679063</v>
      </c>
      <c r="E13" s="18">
        <f>paramètres!$S$11*POWER(H13,paramètres!$T$11)</f>
        <v>1.1747506636908793</v>
      </c>
      <c r="F13" s="20">
        <f>paramètres!$S$13*POWER(H13,paramètres!$T$13)</f>
        <v>1.4284727753198723</v>
      </c>
      <c r="H13" s="4">
        <v>15</v>
      </c>
      <c r="I13" s="18">
        <f t="shared" si="1"/>
        <v>12.18046113051868</v>
      </c>
      <c r="J13" s="19">
        <f t="shared" si="2"/>
        <v>14.169654059491918</v>
      </c>
      <c r="K13" s="18">
        <f t="shared" si="3"/>
        <v>15.016620730018595</v>
      </c>
      <c r="L13" s="20">
        <f t="shared" si="5"/>
        <v>17.62125995536319</v>
      </c>
      <c r="M13" s="20">
        <f t="shared" si="6"/>
        <v>21.427091629798085</v>
      </c>
      <c r="O13" s="4">
        <v>15</v>
      </c>
      <c r="P13" s="21">
        <f t="shared" si="4"/>
        <v>0</v>
      </c>
      <c r="Q13" s="22">
        <f t="shared" si="4"/>
        <v>0</v>
      </c>
      <c r="R13" s="21">
        <f t="shared" si="4"/>
        <v>0</v>
      </c>
      <c r="S13" s="23">
        <f t="shared" si="4"/>
        <v>0</v>
      </c>
      <c r="T13" s="23">
        <f t="shared" si="4"/>
        <v>0</v>
      </c>
      <c r="V13" s="135" t="s">
        <v>63</v>
      </c>
      <c r="W13" s="144"/>
      <c r="X13" s="134">
        <v>0.15</v>
      </c>
      <c r="Y13" s="134">
        <f>W13*X13</f>
        <v>0</v>
      </c>
    </row>
    <row r="14" spans="1:25" x14ac:dyDescent="0.25">
      <c r="A14" s="4">
        <v>20</v>
      </c>
      <c r="B14" s="18">
        <f>paramètres!$S$8*POWER(H14,paramètres!$T$8)</f>
        <v>0.6633466486295978</v>
      </c>
      <c r="C14" s="18">
        <f>paramètres!$S$9*POWER(H14,paramètres!$T$9)</f>
        <v>0.77301102662416754</v>
      </c>
      <c r="D14" s="19">
        <f>paramètres!$S$10*POWER(H14,paramètres!$T$10)</f>
        <v>0.82798293676323287</v>
      </c>
      <c r="E14" s="18">
        <f>paramètres!$S$11*POWER(H14,paramètres!$T$11)</f>
        <v>0.97579865225830542</v>
      </c>
      <c r="F14" s="20">
        <f>paramètres!$S$13*POWER(H14,paramètres!$T$13)</f>
        <v>1.1989036355780152</v>
      </c>
      <c r="H14" s="4">
        <v>20</v>
      </c>
      <c r="I14" s="18">
        <f t="shared" si="1"/>
        <v>13.266932972591956</v>
      </c>
      <c r="J14" s="19">
        <f t="shared" si="2"/>
        <v>15.460220532483351</v>
      </c>
      <c r="K14" s="18">
        <f t="shared" si="3"/>
        <v>16.559658735264659</v>
      </c>
      <c r="L14" s="20">
        <f t="shared" si="5"/>
        <v>19.51597304516611</v>
      </c>
      <c r="M14" s="20">
        <f t="shared" si="6"/>
        <v>23.978072711560301</v>
      </c>
      <c r="O14" s="4">
        <v>20</v>
      </c>
      <c r="P14" s="21">
        <f t="shared" si="4"/>
        <v>0</v>
      </c>
      <c r="Q14" s="22">
        <f t="shared" si="4"/>
        <v>0</v>
      </c>
      <c r="R14" s="21">
        <f t="shared" si="4"/>
        <v>0</v>
      </c>
      <c r="S14" s="23">
        <f t="shared" si="4"/>
        <v>0</v>
      </c>
      <c r="T14" s="23">
        <f t="shared" si="4"/>
        <v>0</v>
      </c>
      <c r="V14" s="135" t="s">
        <v>64</v>
      </c>
      <c r="W14" s="144"/>
      <c r="X14" s="134">
        <v>0.3</v>
      </c>
      <c r="Y14" s="134">
        <f t="shared" si="7"/>
        <v>0</v>
      </c>
    </row>
    <row r="15" spans="1:25" x14ac:dyDescent="0.25">
      <c r="A15" s="4">
        <v>30</v>
      </c>
      <c r="B15" s="18">
        <f>paramètres!$S$8*POWER(H15,paramètres!$T$8)</f>
        <v>0.49882519869265179</v>
      </c>
      <c r="C15" s="18">
        <f>paramètres!$S$9*POWER(H15,paramètres!$T$9)</f>
        <v>0.58270679356384747</v>
      </c>
      <c r="D15" s="19">
        <f>paramètres!$S$10*POWER(H15,paramètres!$T$10)</f>
        <v>0.63357955693906109</v>
      </c>
      <c r="E15" s="18">
        <f>paramètres!$S$11*POWER(H15,paramètres!$T$11)</f>
        <v>0.75124458022836205</v>
      </c>
      <c r="F15" s="20">
        <f>paramètres!$S$13*POWER(H15,paramètres!$T$13)</f>
        <v>0.93657961376458199</v>
      </c>
      <c r="H15" s="4">
        <v>30</v>
      </c>
      <c r="I15" s="18">
        <f t="shared" si="1"/>
        <v>14.964755960779554</v>
      </c>
      <c r="J15" s="19">
        <f t="shared" si="2"/>
        <v>17.481203806915424</v>
      </c>
      <c r="K15" s="18">
        <f t="shared" si="3"/>
        <v>19.007386708171833</v>
      </c>
      <c r="L15" s="20">
        <f t="shared" si="5"/>
        <v>22.53733740685086</v>
      </c>
      <c r="M15" s="20">
        <f>H15*F15</f>
        <v>28.097388412937459</v>
      </c>
      <c r="O15" s="4">
        <v>30</v>
      </c>
      <c r="P15" s="21">
        <f t="shared" si="4"/>
        <v>0</v>
      </c>
      <c r="Q15" s="22">
        <f t="shared" si="4"/>
        <v>0</v>
      </c>
      <c r="R15" s="21">
        <f t="shared" si="4"/>
        <v>0</v>
      </c>
      <c r="S15" s="23">
        <f t="shared" si="4"/>
        <v>0</v>
      </c>
      <c r="T15" s="23">
        <f t="shared" si="4"/>
        <v>0</v>
      </c>
      <c r="V15" s="138" t="s">
        <v>80</v>
      </c>
      <c r="W15" s="139">
        <f>SUM(W4:W14)</f>
        <v>1000</v>
      </c>
      <c r="X15" s="140"/>
      <c r="Y15" s="143">
        <f>SUM(Y4:Y14)</f>
        <v>1000</v>
      </c>
    </row>
    <row r="16" spans="1:25" x14ac:dyDescent="0.25">
      <c r="A16" s="4">
        <v>45</v>
      </c>
      <c r="B16" s="18">
        <f>paramètres!$S$8*POWER(H16,paramètres!$T$8)</f>
        <v>0.37510791584582859</v>
      </c>
      <c r="C16" s="18">
        <f>paramètres!$S$9*POWER(H16,paramètres!$T$9)</f>
        <v>0.43925273452864444</v>
      </c>
      <c r="D16" s="19">
        <f>paramètres!$S$10*POWER(H16,paramètres!$T$10)</f>
        <v>0.48482044393372165</v>
      </c>
      <c r="E16" s="18">
        <f>paramètres!$S$11*POWER(H16,paramètres!$T$11)</f>
        <v>0.57836564747897734</v>
      </c>
      <c r="F16" s="20">
        <f>paramètres!$S$13*POWER(H16,paramètres!$T$13)</f>
        <v>0.73165294264580882</v>
      </c>
      <c r="H16" s="4">
        <v>45</v>
      </c>
      <c r="I16" s="18">
        <f t="shared" si="1"/>
        <v>16.879856213062286</v>
      </c>
      <c r="J16" s="19">
        <f t="shared" si="2"/>
        <v>19.766373053789</v>
      </c>
      <c r="K16" s="18">
        <f t="shared" si="3"/>
        <v>21.816919977017474</v>
      </c>
      <c r="L16" s="20">
        <f t="shared" si="5"/>
        <v>26.02645413655398</v>
      </c>
      <c r="M16" s="20">
        <f t="shared" si="6"/>
        <v>32.924382419061395</v>
      </c>
      <c r="O16" s="4">
        <v>45</v>
      </c>
      <c r="P16" s="21">
        <f t="shared" si="4"/>
        <v>0</v>
      </c>
      <c r="Q16" s="22">
        <f t="shared" si="4"/>
        <v>0</v>
      </c>
      <c r="R16" s="21">
        <f t="shared" si="4"/>
        <v>0</v>
      </c>
      <c r="S16" s="23">
        <f t="shared" si="4"/>
        <v>0</v>
      </c>
      <c r="T16" s="23">
        <f t="shared" si="4"/>
        <v>0</v>
      </c>
    </row>
    <row r="17" spans="1:21" x14ac:dyDescent="0.25">
      <c r="A17" s="4">
        <v>60</v>
      </c>
      <c r="B17" s="18">
        <f>paramètres!$S$8*POWER(H17,paramètres!$T$8)</f>
        <v>0.30642507231600336</v>
      </c>
      <c r="C17" s="18">
        <f>paramètres!$S$9*POWER(H17,paramètres!$T$9)</f>
        <v>0.35944477455821044</v>
      </c>
      <c r="D17" s="19">
        <f>paramètres!$S$10*POWER(H17,paramètres!$T$10)</f>
        <v>0.40097875100019253</v>
      </c>
      <c r="E17" s="18">
        <f>paramètres!$S$11*POWER(H17,paramètres!$T$11)</f>
        <v>0.48041549306244491</v>
      </c>
      <c r="F17" s="20">
        <f>paramètres!$S$13*POWER(H17,paramètres!$T$13)</f>
        <v>0.61406936700140446</v>
      </c>
      <c r="H17" s="4">
        <v>60</v>
      </c>
      <c r="I17" s="18">
        <f t="shared" si="1"/>
        <v>18.385504338960203</v>
      </c>
      <c r="J17" s="19">
        <f t="shared" si="2"/>
        <v>21.566686473492627</v>
      </c>
      <c r="K17" s="18">
        <f t="shared" si="3"/>
        <v>24.058725060011554</v>
      </c>
      <c r="L17" s="20">
        <f t="shared" si="5"/>
        <v>28.824929583746695</v>
      </c>
      <c r="M17" s="20">
        <f>H17*F17</f>
        <v>36.844162020084269</v>
      </c>
      <c r="O17" s="4">
        <v>60</v>
      </c>
      <c r="P17" s="21">
        <f t="shared" si="4"/>
        <v>0</v>
      </c>
      <c r="Q17" s="22">
        <f t="shared" si="4"/>
        <v>0</v>
      </c>
      <c r="R17" s="21">
        <f t="shared" si="4"/>
        <v>0</v>
      </c>
      <c r="S17" s="23">
        <f t="shared" si="4"/>
        <v>0</v>
      </c>
      <c r="T17" s="23">
        <f t="shared" si="4"/>
        <v>0</v>
      </c>
    </row>
    <row r="18" spans="1:21" x14ac:dyDescent="0.25">
      <c r="A18" s="4">
        <v>75</v>
      </c>
      <c r="B18" s="18">
        <f>paramètres!$S$8*POWER(H18,paramètres!$T$8)</f>
        <v>0.2619368244554286</v>
      </c>
      <c r="C18" s="18">
        <f>paramètres!$S$9*POWER(H18,paramètres!$T$9)</f>
        <v>0.30767052695303942</v>
      </c>
      <c r="D18" s="19">
        <f>paramètres!$S$10*POWER(H18,paramètres!$T$10)</f>
        <v>0.34606744783888399</v>
      </c>
      <c r="E18" s="18">
        <f>paramètres!$S$11*POWER(H18,paramètres!$T$11)</f>
        <v>0.41601601180078435</v>
      </c>
      <c r="F18" s="20">
        <f>paramètres!$S$13*POWER(H18,paramètres!$T$13)</f>
        <v>0.53604251373107203</v>
      </c>
      <c r="H18" s="4">
        <v>75</v>
      </c>
      <c r="I18" s="18">
        <f t="shared" si="1"/>
        <v>19.645261834157143</v>
      </c>
      <c r="J18" s="19">
        <f t="shared" si="2"/>
        <v>23.075289521477956</v>
      </c>
      <c r="K18" s="18">
        <f t="shared" si="3"/>
        <v>25.955058587916298</v>
      </c>
      <c r="L18" s="20">
        <f t="shared" si="5"/>
        <v>31.201200885058824</v>
      </c>
      <c r="M18" s="20">
        <f t="shared" si="6"/>
        <v>40.203188529830399</v>
      </c>
      <c r="O18" s="4">
        <v>75</v>
      </c>
      <c r="P18" s="21">
        <f t="shared" si="4"/>
        <v>0</v>
      </c>
      <c r="Q18" s="22">
        <f t="shared" si="4"/>
        <v>0</v>
      </c>
      <c r="R18" s="21">
        <f t="shared" si="4"/>
        <v>0</v>
      </c>
      <c r="S18" s="23">
        <f t="shared" si="4"/>
        <v>0</v>
      </c>
      <c r="T18" s="23">
        <f t="shared" si="4"/>
        <v>0</v>
      </c>
    </row>
    <row r="19" spans="1:21" x14ac:dyDescent="0.25">
      <c r="A19" s="4">
        <v>90</v>
      </c>
      <c r="B19" s="18">
        <f>paramètres!$S$8*POWER(H19,paramètres!$T$8)</f>
        <v>0.23042635083514379</v>
      </c>
      <c r="C19" s="18">
        <f>paramètres!$S$9*POWER(H19,paramètres!$T$9)</f>
        <v>0.27095462397320802</v>
      </c>
      <c r="D19" s="19">
        <f>paramètres!$S$10*POWER(H19,paramètres!$T$10)</f>
        <v>0.30683233690035333</v>
      </c>
      <c r="E19" s="18">
        <f>paramètres!$S$11*POWER(H19,paramètres!$T$11)</f>
        <v>0.36986066191589806</v>
      </c>
      <c r="F19" s="20">
        <f>paramètres!$S$13*POWER(H19,paramètres!$T$13)</f>
        <v>0.47970898869912715</v>
      </c>
      <c r="H19" s="4">
        <v>90</v>
      </c>
      <c r="I19" s="18">
        <f t="shared" si="1"/>
        <v>20.73837157516294</v>
      </c>
      <c r="J19" s="19">
        <f t="shared" si="2"/>
        <v>24.385916157588721</v>
      </c>
      <c r="K19" s="18">
        <f t="shared" si="3"/>
        <v>27.6149103210318</v>
      </c>
      <c r="L19" s="20">
        <f t="shared" si="5"/>
        <v>33.287459572430826</v>
      </c>
      <c r="M19" s="20">
        <f t="shared" si="6"/>
        <v>43.173808982921443</v>
      </c>
      <c r="O19" s="4">
        <v>90</v>
      </c>
      <c r="P19" s="21">
        <f t="shared" si="4"/>
        <v>0</v>
      </c>
      <c r="Q19" s="22">
        <f t="shared" si="4"/>
        <v>0</v>
      </c>
      <c r="R19" s="21">
        <f t="shared" si="4"/>
        <v>0</v>
      </c>
      <c r="S19" s="23">
        <f t="shared" si="4"/>
        <v>0</v>
      </c>
      <c r="T19" s="23">
        <f t="shared" si="4"/>
        <v>0</v>
      </c>
    </row>
    <row r="20" spans="1:21" x14ac:dyDescent="0.25">
      <c r="A20" s="4">
        <v>105</v>
      </c>
      <c r="B20" s="18">
        <f>paramètres!$S$8*POWER(H20,paramètres!$T$8)</f>
        <v>0.20676096432671057</v>
      </c>
      <c r="C20" s="18">
        <f>paramètres!$S$9*POWER(H20,paramètres!$T$9)</f>
        <v>0.24335185129895009</v>
      </c>
      <c r="D20" s="19">
        <f>paramètres!$S$10*POWER(H20,paramètres!$T$10)</f>
        <v>0.27715087024540935</v>
      </c>
      <c r="E20" s="18">
        <f>paramètres!$S$11*POWER(H20,paramètres!$T$11)</f>
        <v>0.334855520533134</v>
      </c>
      <c r="F20" s="20">
        <f>paramètres!$S$13*POWER(H20,paramètres!$T$13)</f>
        <v>0.4367242034554823</v>
      </c>
      <c r="H20" s="4">
        <v>105</v>
      </c>
      <c r="I20" s="18">
        <f t="shared" si="1"/>
        <v>21.709901254304608</v>
      </c>
      <c r="J20" s="19">
        <f t="shared" si="2"/>
        <v>25.55194438638976</v>
      </c>
      <c r="K20" s="18">
        <f t="shared" si="3"/>
        <v>29.100841375767981</v>
      </c>
      <c r="L20" s="20">
        <f>H20*E20</f>
        <v>35.159829655979067</v>
      </c>
      <c r="M20" s="20">
        <f t="shared" si="6"/>
        <v>45.856041362825643</v>
      </c>
      <c r="O20" s="4">
        <v>105</v>
      </c>
      <c r="P20" s="21">
        <f t="shared" si="4"/>
        <v>0</v>
      </c>
      <c r="Q20" s="22">
        <f t="shared" si="4"/>
        <v>0</v>
      </c>
      <c r="R20" s="21">
        <f t="shared" si="4"/>
        <v>0</v>
      </c>
      <c r="S20" s="23">
        <f t="shared" si="4"/>
        <v>0</v>
      </c>
      <c r="T20" s="23">
        <f t="shared" si="4"/>
        <v>0</v>
      </c>
    </row>
    <row r="21" spans="1:21" x14ac:dyDescent="0.25">
      <c r="A21" s="5">
        <v>120</v>
      </c>
      <c r="B21" s="24">
        <f>paramètres!$S$8*POWER(H21,paramètres!$T$8)</f>
        <v>0.18823492716477921</v>
      </c>
      <c r="C21" s="24">
        <f>paramètres!$S$9*POWER(H21,paramètres!$T$9)</f>
        <v>0.22172479776151122</v>
      </c>
      <c r="D21" s="25">
        <f>paramètres!$S$10*POWER(H21,paramètres!$T$10)</f>
        <v>0.25377074906023045</v>
      </c>
      <c r="E21" s="24">
        <f>paramètres!$S$11*POWER(H21,paramètres!$T$11)</f>
        <v>0.30722224432457684</v>
      </c>
      <c r="F21" s="26">
        <f>paramètres!$S$13*POWER(H21,paramètres!$T$13)</f>
        <v>0.40261519890853453</v>
      </c>
      <c r="H21" s="5">
        <v>120</v>
      </c>
      <c r="I21" s="24">
        <f t="shared" si="1"/>
        <v>22.588191259773506</v>
      </c>
      <c r="J21" s="25">
        <f t="shared" si="2"/>
        <v>26.606975731381347</v>
      </c>
      <c r="K21" s="24">
        <f t="shared" si="3"/>
        <v>30.452489887227653</v>
      </c>
      <c r="L21" s="26">
        <f>H21*E21</f>
        <v>36.866669318949221</v>
      </c>
      <c r="M21" s="26">
        <f t="shared" si="6"/>
        <v>48.313823869024141</v>
      </c>
      <c r="O21" s="5">
        <v>120</v>
      </c>
      <c r="P21" s="27">
        <f t="shared" si="4"/>
        <v>0</v>
      </c>
      <c r="Q21" s="28">
        <f t="shared" si="4"/>
        <v>0</v>
      </c>
      <c r="R21" s="27">
        <f t="shared" si="4"/>
        <v>0</v>
      </c>
      <c r="S21" s="29">
        <f>L21*$G$1*0.001</f>
        <v>0</v>
      </c>
      <c r="T21" s="29">
        <f t="shared" si="4"/>
        <v>0</v>
      </c>
    </row>
    <row r="25" spans="1:21" ht="17.399999999999999" x14ac:dyDescent="0.3">
      <c r="E25" s="2"/>
      <c r="F25" s="2"/>
      <c r="G25" s="2"/>
      <c r="H25" s="30"/>
      <c r="I25" s="31"/>
    </row>
    <row r="26" spans="1:21" ht="15.6" x14ac:dyDescent="0.25">
      <c r="E26" s="32" t="s">
        <v>14</v>
      </c>
      <c r="F26" s="124"/>
      <c r="H26" s="16" t="s">
        <v>5</v>
      </c>
      <c r="I26" s="129" t="s">
        <v>15</v>
      </c>
      <c r="J26" s="127"/>
      <c r="K26" s="127"/>
      <c r="L26" s="127"/>
      <c r="M26" s="7"/>
      <c r="O26" s="187" t="s">
        <v>82</v>
      </c>
      <c r="S26" s="186">
        <f>MAX(M28:M39)</f>
        <v>0</v>
      </c>
      <c r="T26" s="137" t="s">
        <v>83</v>
      </c>
      <c r="U26" s="188" t="s">
        <v>85</v>
      </c>
    </row>
    <row r="27" spans="1:21" ht="15.6" x14ac:dyDescent="0.25">
      <c r="E27" s="33" t="s">
        <v>16</v>
      </c>
      <c r="F27" s="124"/>
      <c r="G27" s="34"/>
      <c r="H27" s="35"/>
      <c r="I27" s="146" t="s">
        <v>10</v>
      </c>
      <c r="J27" s="146" t="s">
        <v>11</v>
      </c>
      <c r="K27" s="147" t="s">
        <v>12</v>
      </c>
      <c r="L27" s="148" t="s">
        <v>13</v>
      </c>
      <c r="M27" s="33" t="s">
        <v>48</v>
      </c>
      <c r="O27" s="187" t="s">
        <v>84</v>
      </c>
      <c r="S27" s="186">
        <f>MAX(L28:L39)</f>
        <v>0</v>
      </c>
      <c r="T27" s="137" t="s">
        <v>83</v>
      </c>
      <c r="U27" s="188" t="s">
        <v>85</v>
      </c>
    </row>
    <row r="28" spans="1:21" x14ac:dyDescent="0.25">
      <c r="E28" s="36">
        <f t="shared" ref="E28:E39" si="8">$G$3*H10</f>
        <v>0</v>
      </c>
      <c r="F28" s="125"/>
      <c r="H28" s="4">
        <v>6</v>
      </c>
      <c r="I28" s="37" t="str">
        <f t="shared" ref="I28:I39" si="9">IF(P10-E28&gt;0,P10-E28,"")</f>
        <v/>
      </c>
      <c r="J28" s="21" t="str">
        <f t="shared" ref="J28:J39" si="10">IF(Q10-E28&gt;0,Q10-E28,"")</f>
        <v/>
      </c>
      <c r="K28" s="22" t="str">
        <f t="shared" ref="K28:K39" si="11">IF(R10-E28&gt;0,R10-E28,"")</f>
        <v/>
      </c>
      <c r="L28" s="21" t="str">
        <f>IF(S10-E28&gt;0,S10-E28,"")</f>
        <v/>
      </c>
      <c r="M28" s="131" t="str">
        <f>IF(T10-E28&gt;0,T10-E28,"")</f>
        <v/>
      </c>
      <c r="O28" s="38"/>
    </row>
    <row r="29" spans="1:21" x14ac:dyDescent="0.25">
      <c r="E29" s="36">
        <f t="shared" si="8"/>
        <v>0</v>
      </c>
      <c r="F29" s="125"/>
      <c r="H29" s="4">
        <v>10</v>
      </c>
      <c r="I29" s="37" t="str">
        <f t="shared" si="9"/>
        <v/>
      </c>
      <c r="J29" s="21" t="str">
        <f t="shared" si="10"/>
        <v/>
      </c>
      <c r="K29" s="22" t="str">
        <f t="shared" si="11"/>
        <v/>
      </c>
      <c r="L29" s="21" t="str">
        <f t="shared" ref="L29:L39" si="12">IF(S11-E29&gt;0,S11-E29,"")</f>
        <v/>
      </c>
      <c r="M29" s="21" t="str">
        <f t="shared" ref="M29:M39" si="13">IF(T11-E29&gt;0,T11-E29,"")</f>
        <v/>
      </c>
    </row>
    <row r="30" spans="1:21" x14ac:dyDescent="0.25">
      <c r="E30" s="36">
        <f t="shared" si="8"/>
        <v>0</v>
      </c>
      <c r="F30" s="125"/>
      <c r="H30" s="4">
        <v>12</v>
      </c>
      <c r="I30" s="37" t="str">
        <f t="shared" si="9"/>
        <v/>
      </c>
      <c r="J30" s="21" t="str">
        <f t="shared" si="10"/>
        <v/>
      </c>
      <c r="K30" s="22" t="str">
        <f t="shared" si="11"/>
        <v/>
      </c>
      <c r="L30" s="21" t="str">
        <f t="shared" si="12"/>
        <v/>
      </c>
      <c r="M30" s="21" t="str">
        <f t="shared" si="13"/>
        <v/>
      </c>
    </row>
    <row r="31" spans="1:21" x14ac:dyDescent="0.25">
      <c r="E31" s="36">
        <f t="shared" si="8"/>
        <v>0</v>
      </c>
      <c r="F31" s="125"/>
      <c r="H31" s="4">
        <v>15</v>
      </c>
      <c r="I31" s="37" t="str">
        <f t="shared" si="9"/>
        <v/>
      </c>
      <c r="J31" s="21" t="str">
        <f t="shared" si="10"/>
        <v/>
      </c>
      <c r="K31" s="22" t="str">
        <f t="shared" si="11"/>
        <v/>
      </c>
      <c r="L31" s="21" t="str">
        <f t="shared" si="12"/>
        <v/>
      </c>
      <c r="M31" s="21" t="str">
        <f t="shared" si="13"/>
        <v/>
      </c>
    </row>
    <row r="32" spans="1:21" x14ac:dyDescent="0.25">
      <c r="E32" s="36">
        <f t="shared" si="8"/>
        <v>0</v>
      </c>
      <c r="F32" s="125"/>
      <c r="H32" s="4">
        <v>20</v>
      </c>
      <c r="I32" s="37" t="str">
        <f t="shared" si="9"/>
        <v/>
      </c>
      <c r="J32" s="21" t="str">
        <f t="shared" si="10"/>
        <v/>
      </c>
      <c r="K32" s="22" t="str">
        <f t="shared" si="11"/>
        <v/>
      </c>
      <c r="L32" s="21" t="str">
        <f t="shared" si="12"/>
        <v/>
      </c>
      <c r="M32" s="21" t="str">
        <f t="shared" si="13"/>
        <v/>
      </c>
      <c r="O32" s="38"/>
    </row>
    <row r="33" spans="5:15" x14ac:dyDescent="0.25">
      <c r="E33" s="36">
        <f t="shared" si="8"/>
        <v>0</v>
      </c>
      <c r="F33" s="125"/>
      <c r="H33" s="4">
        <v>30</v>
      </c>
      <c r="I33" s="37" t="str">
        <f t="shared" si="9"/>
        <v/>
      </c>
      <c r="J33" s="21" t="str">
        <f t="shared" si="10"/>
        <v/>
      </c>
      <c r="K33" s="22" t="str">
        <f t="shared" si="11"/>
        <v/>
      </c>
      <c r="L33" s="21" t="str">
        <f t="shared" si="12"/>
        <v/>
      </c>
      <c r="M33" s="21" t="str">
        <f t="shared" si="13"/>
        <v/>
      </c>
      <c r="O33" s="38"/>
    </row>
    <row r="34" spans="5:15" x14ac:dyDescent="0.25">
      <c r="E34" s="36">
        <f t="shared" si="8"/>
        <v>0</v>
      </c>
      <c r="F34" s="125"/>
      <c r="H34" s="4">
        <v>45</v>
      </c>
      <c r="I34" s="37" t="str">
        <f t="shared" si="9"/>
        <v/>
      </c>
      <c r="J34" s="21" t="str">
        <f t="shared" si="10"/>
        <v/>
      </c>
      <c r="K34" s="22" t="str">
        <f t="shared" si="11"/>
        <v/>
      </c>
      <c r="L34" s="21" t="str">
        <f t="shared" si="12"/>
        <v/>
      </c>
      <c r="M34" s="21" t="str">
        <f t="shared" si="13"/>
        <v/>
      </c>
      <c r="O34" s="38"/>
    </row>
    <row r="35" spans="5:15" x14ac:dyDescent="0.25">
      <c r="E35" s="36">
        <f t="shared" si="8"/>
        <v>0</v>
      </c>
      <c r="F35" s="125"/>
      <c r="H35" s="4">
        <v>60</v>
      </c>
      <c r="I35" s="37" t="str">
        <f t="shared" si="9"/>
        <v/>
      </c>
      <c r="J35" s="21" t="str">
        <f t="shared" si="10"/>
        <v/>
      </c>
      <c r="K35" s="22" t="str">
        <f t="shared" si="11"/>
        <v/>
      </c>
      <c r="L35" s="21" t="str">
        <f t="shared" si="12"/>
        <v/>
      </c>
      <c r="M35" s="21" t="str">
        <f t="shared" si="13"/>
        <v/>
      </c>
      <c r="O35" s="38"/>
    </row>
    <row r="36" spans="5:15" x14ac:dyDescent="0.25">
      <c r="E36" s="36">
        <f t="shared" si="8"/>
        <v>0</v>
      </c>
      <c r="F36" s="125"/>
      <c r="H36" s="4">
        <v>75</v>
      </c>
      <c r="I36" s="37" t="str">
        <f t="shared" si="9"/>
        <v/>
      </c>
      <c r="J36" s="21" t="str">
        <f t="shared" si="10"/>
        <v/>
      </c>
      <c r="K36" s="22" t="str">
        <f t="shared" si="11"/>
        <v/>
      </c>
      <c r="L36" s="21" t="str">
        <f t="shared" si="12"/>
        <v/>
      </c>
      <c r="M36" s="21" t="str">
        <f t="shared" si="13"/>
        <v/>
      </c>
      <c r="O36" s="38"/>
    </row>
    <row r="37" spans="5:15" x14ac:dyDescent="0.25">
      <c r="E37" s="36">
        <f t="shared" si="8"/>
        <v>0</v>
      </c>
      <c r="F37" s="125"/>
      <c r="H37" s="4">
        <v>90</v>
      </c>
      <c r="I37" s="37" t="str">
        <f t="shared" si="9"/>
        <v/>
      </c>
      <c r="J37" s="21" t="str">
        <f t="shared" si="10"/>
        <v/>
      </c>
      <c r="K37" s="22" t="str">
        <f t="shared" si="11"/>
        <v/>
      </c>
      <c r="L37" s="21" t="str">
        <f t="shared" si="12"/>
        <v/>
      </c>
      <c r="M37" s="21" t="str">
        <f t="shared" si="13"/>
        <v/>
      </c>
      <c r="O37" s="38"/>
    </row>
    <row r="38" spans="5:15" x14ac:dyDescent="0.25">
      <c r="E38" s="36">
        <f t="shared" si="8"/>
        <v>0</v>
      </c>
      <c r="F38" s="125"/>
      <c r="H38" s="4">
        <v>105</v>
      </c>
      <c r="I38" s="37" t="str">
        <f t="shared" si="9"/>
        <v/>
      </c>
      <c r="J38" s="21" t="str">
        <f t="shared" si="10"/>
        <v/>
      </c>
      <c r="K38" s="22" t="str">
        <f t="shared" si="11"/>
        <v/>
      </c>
      <c r="L38" s="21" t="str">
        <f>IF(S20-E38&gt;0,S20-E38,"")</f>
        <v/>
      </c>
      <c r="M38" s="21" t="str">
        <f t="shared" si="13"/>
        <v/>
      </c>
      <c r="O38" s="38"/>
    </row>
    <row r="39" spans="5:15" x14ac:dyDescent="0.25">
      <c r="E39" s="39">
        <f t="shared" si="8"/>
        <v>0</v>
      </c>
      <c r="F39" s="125"/>
      <c r="H39" s="5">
        <v>120</v>
      </c>
      <c r="I39" s="40" t="str">
        <f t="shared" si="9"/>
        <v/>
      </c>
      <c r="J39" s="27" t="str">
        <f t="shared" si="10"/>
        <v/>
      </c>
      <c r="K39" s="28" t="str">
        <f t="shared" si="11"/>
        <v/>
      </c>
      <c r="L39" s="27" t="str">
        <f t="shared" si="12"/>
        <v/>
      </c>
      <c r="M39" s="27" t="str">
        <f t="shared" si="13"/>
        <v/>
      </c>
      <c r="O39" s="38"/>
    </row>
  </sheetData>
  <conditionalFormatting sqref="M28:M39">
    <cfRule type="top10" dxfId="46" priority="9" rank="1"/>
  </conditionalFormatting>
  <conditionalFormatting sqref="L28:L39">
    <cfRule type="top10" dxfId="45" priority="8" rank="1"/>
  </conditionalFormatting>
  <conditionalFormatting sqref="K28:K39">
    <cfRule type="top10" dxfId="44" priority="7" rank="1"/>
  </conditionalFormatting>
  <conditionalFormatting sqref="J28:J39">
    <cfRule type="top10" dxfId="43" priority="6" rank="1"/>
  </conditionalFormatting>
  <conditionalFormatting sqref="I28:I39">
    <cfRule type="top10" dxfId="42" priority="5" rank="1"/>
  </conditionalFormatting>
  <conditionalFormatting sqref="S26">
    <cfRule type="cellIs" dxfId="41" priority="4" operator="equal">
      <formula>$M$39</formula>
    </cfRule>
  </conditionalFormatting>
  <conditionalFormatting sqref="S27">
    <cfRule type="cellIs" dxfId="40" priority="3" operator="equal">
      <formula>$L$39</formula>
    </cfRule>
  </conditionalFormatting>
  <conditionalFormatting sqref="U26">
    <cfRule type="expression" dxfId="39" priority="2">
      <formula>$M$39&lt;$S$26</formula>
    </cfRule>
  </conditionalFormatting>
  <conditionalFormatting sqref="U27">
    <cfRule type="expression" dxfId="38" priority="1">
      <formula>$L$39&lt;$S$27</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B1:H49"/>
  <sheetViews>
    <sheetView workbookViewId="0">
      <selection activeCell="D11" sqref="D11"/>
    </sheetView>
  </sheetViews>
  <sheetFormatPr baseColWidth="10" defaultColWidth="11.44140625" defaultRowHeight="13.2" x14ac:dyDescent="0.25"/>
  <cols>
    <col min="1" max="1" width="11.44140625" style="248"/>
    <col min="2" max="2" width="3.6640625" style="248" customWidth="1"/>
    <col min="3" max="3" width="35.88671875" style="248" customWidth="1"/>
    <col min="4" max="4" width="18.6640625" style="248" customWidth="1"/>
    <col min="5" max="5" width="14.88671875" style="248" customWidth="1"/>
    <col min="6" max="6" width="18.6640625" style="248" customWidth="1"/>
    <col min="7" max="7" width="3.6640625" style="248" customWidth="1"/>
    <col min="8" max="8" width="57.88671875" style="283" customWidth="1"/>
    <col min="9" max="16384" width="11.44140625" style="248"/>
  </cols>
  <sheetData>
    <row r="1" spans="2:8" ht="25.95" customHeight="1" x14ac:dyDescent="0.25">
      <c r="B1" s="203"/>
      <c r="C1" s="242" t="s">
        <v>121</v>
      </c>
      <c r="D1" s="205"/>
      <c r="E1" s="205"/>
      <c r="F1" s="205"/>
      <c r="G1" s="206"/>
    </row>
    <row r="2" spans="2:8" ht="31.2" customHeight="1" x14ac:dyDescent="0.3">
      <c r="B2" s="203"/>
      <c r="C2" s="229" t="s">
        <v>110</v>
      </c>
      <c r="D2" s="247"/>
      <c r="E2" s="247"/>
      <c r="F2" s="247"/>
      <c r="G2" s="206"/>
    </row>
    <row r="3" spans="2:8" ht="13.8" x14ac:dyDescent="0.25">
      <c r="B3" s="203"/>
      <c r="C3" s="247"/>
      <c r="D3" s="207"/>
      <c r="E3" s="207"/>
      <c r="F3" s="207"/>
      <c r="G3" s="206"/>
    </row>
    <row r="4" spans="2:8" ht="27.6" x14ac:dyDescent="0.25">
      <c r="B4" s="203"/>
      <c r="C4" s="210" t="s">
        <v>95</v>
      </c>
      <c r="D4" s="208" t="s">
        <v>96</v>
      </c>
      <c r="E4" s="208" t="s">
        <v>103</v>
      </c>
      <c r="F4" s="208" t="s">
        <v>172</v>
      </c>
      <c r="G4" s="206"/>
    </row>
    <row r="5" spans="2:8" ht="25.2" customHeight="1" x14ac:dyDescent="0.25">
      <c r="B5" s="203"/>
      <c r="C5" s="244" t="s">
        <v>97</v>
      </c>
      <c r="D5" s="209"/>
      <c r="E5" s="249">
        <v>1</v>
      </c>
      <c r="F5" s="291">
        <f>D5*E5</f>
        <v>0</v>
      </c>
      <c r="G5" s="206"/>
    </row>
    <row r="6" spans="2:8" ht="25.2" customHeight="1" x14ac:dyDescent="0.25">
      <c r="B6" s="203"/>
      <c r="C6" s="244" t="s">
        <v>133</v>
      </c>
      <c r="D6" s="209"/>
      <c r="E6" s="250">
        <v>0.5</v>
      </c>
      <c r="F6" s="291">
        <f t="shared" ref="F6:F11" si="0">D6*E6</f>
        <v>0</v>
      </c>
      <c r="G6" s="206"/>
    </row>
    <row r="7" spans="2:8" ht="25.2" customHeight="1" x14ac:dyDescent="0.25">
      <c r="B7" s="203"/>
      <c r="C7" s="244" t="s">
        <v>98</v>
      </c>
      <c r="D7" s="209"/>
      <c r="E7" s="250">
        <v>0.3</v>
      </c>
      <c r="F7" s="291">
        <f t="shared" si="0"/>
        <v>0</v>
      </c>
      <c r="G7" s="206"/>
    </row>
    <row r="8" spans="2:8" ht="31.2" customHeight="1" x14ac:dyDescent="0.25">
      <c r="B8" s="203"/>
      <c r="C8" s="244" t="s">
        <v>165</v>
      </c>
      <c r="D8" s="209"/>
      <c r="E8" s="250">
        <v>1</v>
      </c>
      <c r="F8" s="291">
        <f t="shared" si="0"/>
        <v>0</v>
      </c>
      <c r="G8" s="206"/>
    </row>
    <row r="9" spans="2:8" ht="31.2" customHeight="1" x14ac:dyDescent="0.25">
      <c r="B9" s="203"/>
      <c r="C9" s="244" t="s">
        <v>166</v>
      </c>
      <c r="D9" s="209"/>
      <c r="E9" s="250">
        <v>1</v>
      </c>
      <c r="F9" s="291">
        <f t="shared" si="0"/>
        <v>0</v>
      </c>
      <c r="G9" s="206"/>
    </row>
    <row r="10" spans="2:8" ht="25.2" customHeight="1" x14ac:dyDescent="0.25">
      <c r="B10" s="203"/>
      <c r="C10" s="244" t="s">
        <v>99</v>
      </c>
      <c r="D10" s="209"/>
      <c r="E10" s="249">
        <v>0</v>
      </c>
      <c r="F10" s="291">
        <f t="shared" si="0"/>
        <v>0</v>
      </c>
      <c r="G10" s="206"/>
    </row>
    <row r="11" spans="2:8" ht="25.2" customHeight="1" x14ac:dyDescent="0.25">
      <c r="B11" s="203"/>
      <c r="C11" s="244" t="s">
        <v>101</v>
      </c>
      <c r="D11" s="209"/>
      <c r="E11" s="209"/>
      <c r="F11" s="291">
        <f t="shared" si="0"/>
        <v>0</v>
      </c>
      <c r="G11" s="206"/>
    </row>
    <row r="12" spans="2:8" ht="22.95" customHeight="1" x14ac:dyDescent="0.25">
      <c r="B12" s="203"/>
      <c r="C12" s="212" t="s">
        <v>100</v>
      </c>
      <c r="D12" s="292">
        <f>SUM(D5:D10)</f>
        <v>0</v>
      </c>
      <c r="E12" s="214"/>
      <c r="F12" s="292">
        <f>SUM(F5:F10)</f>
        <v>0</v>
      </c>
      <c r="G12" s="206"/>
    </row>
    <row r="13" spans="2:8" ht="13.8" x14ac:dyDescent="0.25">
      <c r="B13" s="203"/>
      <c r="C13" s="213"/>
      <c r="D13" s="222"/>
      <c r="E13" s="222"/>
      <c r="F13" s="222"/>
      <c r="G13" s="206"/>
    </row>
    <row r="14" spans="2:8" ht="15.6" x14ac:dyDescent="0.3">
      <c r="B14" s="203"/>
      <c r="C14" s="229" t="s">
        <v>111</v>
      </c>
      <c r="D14" s="222"/>
      <c r="E14" s="222"/>
      <c r="F14" s="222"/>
      <c r="G14" s="206"/>
    </row>
    <row r="15" spans="2:8" s="263" customFormat="1" ht="41.25" customHeight="1" x14ac:dyDescent="0.25">
      <c r="B15" s="230"/>
      <c r="C15" s="306" t="s">
        <v>167</v>
      </c>
      <c r="D15" s="306"/>
      <c r="E15" s="306"/>
      <c r="F15" s="306"/>
      <c r="G15" s="233"/>
      <c r="H15" s="284"/>
    </row>
    <row r="16" spans="2:8" s="263" customFormat="1" ht="27" customHeight="1" x14ac:dyDescent="0.25">
      <c r="B16" s="230"/>
      <c r="C16" s="289"/>
      <c r="D16" s="289"/>
      <c r="E16" s="308" t="s">
        <v>168</v>
      </c>
      <c r="F16" s="308"/>
      <c r="G16" s="233"/>
      <c r="H16" s="284"/>
    </row>
    <row r="17" spans="2:8" s="263" customFormat="1" ht="27" customHeight="1" x14ac:dyDescent="0.25">
      <c r="B17" s="230"/>
      <c r="C17" s="307"/>
      <c r="D17" s="307"/>
      <c r="E17" s="290" t="s">
        <v>169</v>
      </c>
      <c r="F17" s="290" t="s">
        <v>170</v>
      </c>
      <c r="G17" s="233"/>
      <c r="H17" s="284"/>
    </row>
    <row r="18" spans="2:8" ht="25.2" customHeight="1" x14ac:dyDescent="0.25">
      <c r="B18" s="203"/>
      <c r="C18" s="305" t="s">
        <v>107</v>
      </c>
      <c r="D18" s="305"/>
      <c r="E18" s="226"/>
      <c r="F18" s="226"/>
      <c r="G18" s="206"/>
    </row>
    <row r="19" spans="2:8" ht="25.2" customHeight="1" x14ac:dyDescent="0.25">
      <c r="B19" s="203"/>
      <c r="C19" s="305" t="s">
        <v>108</v>
      </c>
      <c r="D19" s="305"/>
      <c r="E19" s="227"/>
      <c r="F19" s="227"/>
      <c r="G19" s="206"/>
    </row>
    <row r="20" spans="2:8" ht="25.2" customHeight="1" x14ac:dyDescent="0.25">
      <c r="B20" s="203"/>
      <c r="C20" s="305" t="s">
        <v>109</v>
      </c>
      <c r="D20" s="305"/>
      <c r="E20" s="294">
        <f>IF(OR(ISBLANK(E18),E18=0),E19,E18/1000/3600)</f>
        <v>0</v>
      </c>
      <c r="F20" s="294">
        <f>IF(OR(ISBLANK(F18),F18=0),F19,F18/1000/3600)</f>
        <v>0</v>
      </c>
      <c r="G20" s="206"/>
    </row>
    <row r="21" spans="2:8" ht="25.2" customHeight="1" x14ac:dyDescent="0.25">
      <c r="B21" s="203"/>
      <c r="C21" s="234"/>
      <c r="D21" s="234"/>
      <c r="E21" s="235"/>
      <c r="F21" s="237"/>
      <c r="G21" s="206"/>
    </row>
    <row r="22" spans="2:8" ht="25.2" customHeight="1" x14ac:dyDescent="0.3">
      <c r="B22" s="203"/>
      <c r="C22" s="229" t="s">
        <v>124</v>
      </c>
      <c r="D22" s="234"/>
      <c r="E22" s="235"/>
      <c r="F22" s="237"/>
      <c r="G22" s="206"/>
    </row>
    <row r="23" spans="2:8" ht="64.5" customHeight="1" x14ac:dyDescent="0.25">
      <c r="B23" s="203"/>
      <c r="C23" s="304" t="s">
        <v>163</v>
      </c>
      <c r="D23" s="304"/>
      <c r="E23" s="304"/>
      <c r="F23" s="304"/>
      <c r="G23" s="206"/>
      <c r="H23" s="286"/>
    </row>
    <row r="24" spans="2:8" ht="8.4" customHeight="1" x14ac:dyDescent="0.25">
      <c r="B24" s="203"/>
      <c r="C24" s="247"/>
      <c r="D24" s="247"/>
      <c r="E24" s="247"/>
      <c r="F24" s="247"/>
      <c r="G24" s="206"/>
      <c r="H24" s="286"/>
    </row>
    <row r="25" spans="2:8" s="264" customFormat="1" ht="17.399999999999999" customHeight="1" x14ac:dyDescent="0.25">
      <c r="B25" s="203"/>
      <c r="C25" s="243" t="s">
        <v>114</v>
      </c>
      <c r="D25" s="295">
        <f>D8*E20+D9*F20</f>
        <v>0</v>
      </c>
      <c r="E25" s="235"/>
      <c r="F25" s="228"/>
      <c r="G25" s="206"/>
      <c r="H25" s="286"/>
    </row>
    <row r="26" spans="2:8" s="264" customFormat="1" ht="17.399999999999999" customHeight="1" x14ac:dyDescent="0.25">
      <c r="B26" s="203"/>
      <c r="C26" s="241" t="s">
        <v>125</v>
      </c>
      <c r="D26" s="296">
        <f>D25*1000</f>
        <v>0</v>
      </c>
      <c r="E26" s="235"/>
      <c r="F26" s="228"/>
      <c r="G26" s="206"/>
      <c r="H26" s="286"/>
    </row>
    <row r="27" spans="2:8" s="264" customFormat="1" ht="14.4" thickBot="1" x14ac:dyDescent="0.3">
      <c r="B27" s="203"/>
      <c r="C27" s="213"/>
      <c r="D27" s="222"/>
      <c r="E27" s="222"/>
      <c r="F27" s="222"/>
      <c r="G27" s="206"/>
      <c r="H27" s="286"/>
    </row>
    <row r="28" spans="2:8" s="264" customFormat="1" ht="21" customHeight="1" thickTop="1" x14ac:dyDescent="0.25">
      <c r="B28" s="203"/>
      <c r="C28" s="240" t="s">
        <v>113</v>
      </c>
      <c r="D28" s="297">
        <f>MAX('Feuille calcul V30 section A'!M28:M39)</f>
        <v>0</v>
      </c>
      <c r="E28" s="238"/>
      <c r="F28" s="222"/>
      <c r="G28" s="206"/>
      <c r="H28" s="286"/>
    </row>
    <row r="29" spans="2:8" ht="25.2" customHeight="1" x14ac:dyDescent="0.3">
      <c r="B29" s="203"/>
      <c r="C29" s="229"/>
      <c r="D29" s="234"/>
      <c r="E29" s="235"/>
      <c r="F29" s="237"/>
      <c r="G29" s="206"/>
      <c r="H29" s="286"/>
    </row>
    <row r="30" spans="2:8" ht="25.2" customHeight="1" x14ac:dyDescent="0.3">
      <c r="B30" s="203"/>
      <c r="C30" s="229" t="s">
        <v>119</v>
      </c>
      <c r="D30" s="234"/>
      <c r="E30" s="235"/>
      <c r="F30" s="228"/>
      <c r="G30" s="206"/>
      <c r="H30" s="286"/>
    </row>
    <row r="31" spans="2:8" ht="8.4" customHeight="1" x14ac:dyDescent="0.3">
      <c r="B31" s="203"/>
      <c r="C31" s="229"/>
      <c r="D31" s="234"/>
      <c r="E31" s="235"/>
      <c r="F31" s="228"/>
      <c r="G31" s="206"/>
      <c r="H31" s="286"/>
    </row>
    <row r="32" spans="2:8" ht="17.399999999999999" customHeight="1" x14ac:dyDescent="0.25">
      <c r="B32" s="203"/>
      <c r="C32" s="243" t="s">
        <v>117</v>
      </c>
      <c r="D32" s="295">
        <f>D8*E20</f>
        <v>0</v>
      </c>
      <c r="E32" s="235"/>
      <c r="F32" s="228"/>
      <c r="G32" s="206"/>
      <c r="H32" s="286"/>
    </row>
    <row r="33" spans="2:8" ht="17.399999999999999" customHeight="1" x14ac:dyDescent="0.25">
      <c r="B33" s="203"/>
      <c r="C33" s="243" t="s">
        <v>115</v>
      </c>
      <c r="D33" s="296">
        <f>D32*1000</f>
        <v>0</v>
      </c>
      <c r="E33" s="235"/>
      <c r="F33" s="228"/>
      <c r="G33" s="206"/>
      <c r="H33" s="286"/>
    </row>
    <row r="34" spans="2:8" ht="14.4" thickBot="1" x14ac:dyDescent="0.3">
      <c r="B34" s="203"/>
      <c r="C34" s="213"/>
      <c r="D34" s="222"/>
      <c r="E34" s="222"/>
      <c r="F34" s="222"/>
      <c r="G34" s="206"/>
      <c r="H34" s="286"/>
    </row>
    <row r="35" spans="2:8" ht="21" customHeight="1" thickTop="1" x14ac:dyDescent="0.25">
      <c r="B35" s="203"/>
      <c r="C35" s="240" t="s">
        <v>120</v>
      </c>
      <c r="D35" s="297">
        <f>(D5*0.02)-(D32*3600*2)</f>
        <v>0</v>
      </c>
      <c r="E35" s="238"/>
      <c r="F35" s="222"/>
      <c r="G35" s="206"/>
      <c r="H35" s="286"/>
    </row>
    <row r="36" spans="2:8" s="264" customFormat="1" ht="21" customHeight="1" x14ac:dyDescent="0.25">
      <c r="B36" s="203"/>
      <c r="C36" s="259" t="s">
        <v>136</v>
      </c>
      <c r="D36" s="298" t="e">
        <f>D35/D8</f>
        <v>#DIV/0!</v>
      </c>
      <c r="E36" s="238"/>
      <c r="F36" s="222"/>
      <c r="G36" s="206"/>
      <c r="H36" s="286"/>
    </row>
    <row r="37" spans="2:8" ht="21" customHeight="1" x14ac:dyDescent="0.25">
      <c r="B37" s="203"/>
      <c r="C37" s="259" t="s">
        <v>137</v>
      </c>
      <c r="D37" s="299" t="e">
        <f>(D35/D32)/3600</f>
        <v>#DIV/0!</v>
      </c>
      <c r="E37" s="238"/>
      <c r="F37" s="222"/>
      <c r="G37" s="206"/>
      <c r="H37" s="286"/>
    </row>
    <row r="38" spans="2:8" ht="30" customHeight="1" thickBot="1" x14ac:dyDescent="0.3">
      <c r="B38" s="203"/>
      <c r="C38" s="260" t="s">
        <v>127</v>
      </c>
      <c r="D38" s="300" t="e">
        <f>IF($D37&gt;24,"Attention vidange trop longue","Non concerné")</f>
        <v>#DIV/0!</v>
      </c>
      <c r="E38" s="267"/>
      <c r="F38" s="222"/>
      <c r="G38" s="206"/>
      <c r="H38" s="286"/>
    </row>
    <row r="39" spans="2:8" ht="21" customHeight="1" thickTop="1" x14ac:dyDescent="0.25">
      <c r="B39" s="203"/>
      <c r="C39" s="245"/>
      <c r="D39" s="246"/>
      <c r="E39" s="267"/>
      <c r="F39" s="222"/>
      <c r="G39" s="206"/>
      <c r="H39" s="286"/>
    </row>
    <row r="40" spans="2:8" ht="25.2" customHeight="1" x14ac:dyDescent="0.3">
      <c r="B40" s="203"/>
      <c r="C40" s="229" t="s">
        <v>160</v>
      </c>
      <c r="D40" s="234"/>
      <c r="E40" s="235"/>
      <c r="F40" s="228"/>
      <c r="G40" s="206"/>
      <c r="H40" s="286"/>
    </row>
    <row r="41" spans="2:8" ht="8.4" customHeight="1" x14ac:dyDescent="0.3">
      <c r="B41" s="203"/>
      <c r="C41" s="229"/>
      <c r="D41" s="234"/>
      <c r="E41" s="235"/>
      <c r="F41" s="228"/>
      <c r="G41" s="206"/>
      <c r="H41" s="286"/>
    </row>
    <row r="42" spans="2:8" ht="17.399999999999999" customHeight="1" x14ac:dyDescent="0.25">
      <c r="B42" s="203"/>
      <c r="C42" s="243" t="s">
        <v>117</v>
      </c>
      <c r="D42" s="295">
        <f>F20*D9</f>
        <v>0</v>
      </c>
      <c r="E42" s="235"/>
      <c r="F42" s="228"/>
      <c r="G42" s="206"/>
      <c r="H42" s="286"/>
    </row>
    <row r="43" spans="2:8" ht="17.399999999999999" customHeight="1" x14ac:dyDescent="0.25">
      <c r="B43" s="203"/>
      <c r="C43" s="243" t="s">
        <v>115</v>
      </c>
      <c r="D43" s="301">
        <f>D42*1000</f>
        <v>0</v>
      </c>
      <c r="E43" s="235"/>
      <c r="F43" s="228"/>
      <c r="G43" s="206"/>
    </row>
    <row r="44" spans="2:8" ht="14.4" thickBot="1" x14ac:dyDescent="0.3">
      <c r="B44" s="203"/>
      <c r="C44" s="213"/>
      <c r="D44" s="222"/>
      <c r="E44" s="222"/>
      <c r="F44" s="222"/>
      <c r="G44" s="206"/>
    </row>
    <row r="45" spans="2:8" ht="21" customHeight="1" thickTop="1" x14ac:dyDescent="0.25">
      <c r="B45" s="203"/>
      <c r="C45" s="240" t="s">
        <v>126</v>
      </c>
      <c r="D45" s="297">
        <f>D28-D35</f>
        <v>0</v>
      </c>
      <c r="E45" s="238"/>
      <c r="F45" s="222"/>
      <c r="G45" s="206"/>
    </row>
    <row r="46" spans="2:8" ht="21" customHeight="1" x14ac:dyDescent="0.25">
      <c r="B46" s="203"/>
      <c r="C46" s="259" t="s">
        <v>136</v>
      </c>
      <c r="D46" s="298" t="e">
        <f>D45/D9</f>
        <v>#DIV/0!</v>
      </c>
      <c r="E46" s="238"/>
      <c r="F46" s="222"/>
      <c r="G46" s="206"/>
      <c r="H46" s="285"/>
    </row>
    <row r="47" spans="2:8" ht="21" customHeight="1" x14ac:dyDescent="0.25">
      <c r="B47" s="203"/>
      <c r="C47" s="259" t="s">
        <v>137</v>
      </c>
      <c r="D47" s="299" t="e">
        <f>(D45/D42)/3600</f>
        <v>#DIV/0!</v>
      </c>
      <c r="E47" s="238"/>
      <c r="F47" s="222"/>
      <c r="G47" s="206"/>
    </row>
    <row r="48" spans="2:8" ht="30" customHeight="1" thickBot="1" x14ac:dyDescent="0.3">
      <c r="B48" s="203"/>
      <c r="C48" s="239" t="s">
        <v>135</v>
      </c>
      <c r="D48" s="300" t="e">
        <f>IF($D47&gt;72,"Attention vidange trop longue","Non concerné")</f>
        <v>#DIV/0!</v>
      </c>
      <c r="E48" s="267"/>
      <c r="F48" s="222"/>
      <c r="G48" s="206"/>
    </row>
    <row r="49" spans="2:7" ht="14.4" thickTop="1" x14ac:dyDescent="0.25">
      <c r="B49" s="217"/>
      <c r="C49" s="218"/>
      <c r="D49" s="219"/>
      <c r="E49" s="219"/>
      <c r="F49" s="220"/>
      <c r="G49" s="221"/>
    </row>
  </sheetData>
  <sheetProtection algorithmName="SHA-512" hashValue="QlxCk+W7iyzcnbwJ5jZYeM4z4tKgQu13EtmiNQzaJk0FwU2XYzhTR16w9eOUb5STlN9T7aTSbBWWq3ffRfZarA==" saltValue="JspZ427bgbBC0HMphBWreg==" spinCount="100000" sheet="1" objects="1" scenarios="1"/>
  <mergeCells count="7">
    <mergeCell ref="C15:F15"/>
    <mergeCell ref="C17:D17"/>
    <mergeCell ref="E16:F16"/>
    <mergeCell ref="C23:F23"/>
    <mergeCell ref="C18:D18"/>
    <mergeCell ref="C19:D19"/>
    <mergeCell ref="C20:D20"/>
  </mergeCells>
  <conditionalFormatting sqref="D38:D39">
    <cfRule type="cellIs" dxfId="37" priority="15" operator="equal">
      <formula>"Attention vidange trop longue"</formula>
    </cfRule>
  </conditionalFormatting>
  <conditionalFormatting sqref="D48">
    <cfRule type="cellIs" dxfId="36" priority="5" operator="equal">
      <formula>"Attention vidange trop longue"</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8" operator="greaterThan" id="{76419676-4A97-457A-BC52-3CB2F3C81FDF}">
            <xm:f>'Section A'!#REF!</xm:f>
            <x14:dxf>
              <font>
                <color rgb="FF9C0006"/>
              </font>
              <fill>
                <patternFill>
                  <bgColor rgb="FFFFC7CE"/>
                </patternFill>
              </fill>
            </x14:dxf>
          </x14:cfRule>
          <x14:cfRule type="cellIs" priority="19" operator="greaterThan" id="{B921AC60-AE19-42E3-A944-82EF95E1859F}">
            <xm:f>'Section A'!#REF!</xm:f>
            <x14:dxf>
              <font>
                <color rgb="FF9C0006"/>
              </font>
              <fill>
                <patternFill>
                  <bgColor rgb="FFFFC7CE"/>
                </patternFill>
              </fill>
            </x14:dxf>
          </x14:cfRule>
          <xm:sqref>D12:E14 D49:E49 D34:E34 E35 E37</xm:sqref>
        </x14:conditionalFormatting>
        <x14:conditionalFormatting xmlns:xm="http://schemas.microsoft.com/office/excel/2006/main">
          <x14:cfRule type="cellIs" priority="16" operator="greaterThan" id="{342546FE-14F8-4125-9F0F-B50465CCA9CF}">
            <xm:f>'Section A'!#REF!</xm:f>
            <x14:dxf>
              <font>
                <color rgb="FF9C0006"/>
              </font>
              <fill>
                <patternFill>
                  <bgColor rgb="FFFFC7CE"/>
                </patternFill>
              </fill>
            </x14:dxf>
          </x14:cfRule>
          <x14:cfRule type="cellIs" priority="17" operator="greaterThan" id="{F04A5515-688E-461D-BC7A-43A9CDDA3A1D}">
            <xm:f>'Section A'!#REF!</xm:f>
            <x14:dxf>
              <font>
                <color rgb="FF9C0006"/>
              </font>
              <fill>
                <patternFill>
                  <bgColor rgb="FFFFC7CE"/>
                </patternFill>
              </fill>
            </x14:dxf>
          </x14:cfRule>
          <xm:sqref>F12:F14 F34:F35 F37:F39</xm:sqref>
        </x14:conditionalFormatting>
        <x14:conditionalFormatting xmlns:xm="http://schemas.microsoft.com/office/excel/2006/main">
          <x14:cfRule type="cellIs" priority="13" operator="greaterThan" id="{88EE56BD-DCB8-434F-9AE4-7B580A266A00}">
            <xm:f>'Section A'!#REF!</xm:f>
            <x14:dxf>
              <font>
                <color rgb="FF9C0006"/>
              </font>
              <fill>
                <patternFill>
                  <bgColor rgb="FFFFC7CE"/>
                </patternFill>
              </fill>
            </x14:dxf>
          </x14:cfRule>
          <x14:cfRule type="cellIs" priority="14" operator="greaterThan" id="{A4B121AC-6153-442D-95E0-7583875594CB}">
            <xm:f>'Section A'!#REF!</xm:f>
            <x14:dxf>
              <font>
                <color rgb="FF9C0006"/>
              </font>
              <fill>
                <patternFill>
                  <bgColor rgb="FFFFC7CE"/>
                </patternFill>
              </fill>
            </x14:dxf>
          </x14:cfRule>
          <xm:sqref>D27:E27 E28</xm:sqref>
        </x14:conditionalFormatting>
        <x14:conditionalFormatting xmlns:xm="http://schemas.microsoft.com/office/excel/2006/main">
          <x14:cfRule type="cellIs" priority="11" operator="greaterThan" id="{3FBA00E1-DF05-4E99-B099-39774601F442}">
            <xm:f>'Section A'!#REF!</xm:f>
            <x14:dxf>
              <font>
                <color rgb="FF9C0006"/>
              </font>
              <fill>
                <patternFill>
                  <bgColor rgb="FFFFC7CE"/>
                </patternFill>
              </fill>
            </x14:dxf>
          </x14:cfRule>
          <x14:cfRule type="cellIs" priority="12" operator="greaterThan" id="{8096BDEC-5BE7-4A40-8505-2F37590AE6FE}">
            <xm:f>'Section A'!#REF!</xm:f>
            <x14:dxf>
              <font>
                <color rgb="FF9C0006"/>
              </font>
              <fill>
                <patternFill>
                  <bgColor rgb="FFFFC7CE"/>
                </patternFill>
              </fill>
            </x14:dxf>
          </x14:cfRule>
          <xm:sqref>F27:F28</xm:sqref>
        </x14:conditionalFormatting>
        <x14:conditionalFormatting xmlns:xm="http://schemas.microsoft.com/office/excel/2006/main">
          <x14:cfRule type="cellIs" priority="8" operator="greaterThan" id="{B5239F3B-137F-40FB-AEDD-E0B3E06DAEE5}">
            <xm:f>'Section A'!#REF!</xm:f>
            <x14:dxf>
              <font>
                <color rgb="FF9C0006"/>
              </font>
              <fill>
                <patternFill>
                  <bgColor rgb="FFFFC7CE"/>
                </patternFill>
              </fill>
            </x14:dxf>
          </x14:cfRule>
          <x14:cfRule type="cellIs" priority="9" operator="greaterThan" id="{2FFC5A0F-8E86-42A3-AC97-0B43C2611BCD}">
            <xm:f>'Section A'!#REF!</xm:f>
            <x14:dxf>
              <font>
                <color rgb="FF9C0006"/>
              </font>
              <fill>
                <patternFill>
                  <bgColor rgb="FFFFC7CE"/>
                </patternFill>
              </fill>
            </x14:dxf>
          </x14:cfRule>
          <xm:sqref>D44:E44 E45:E47</xm:sqref>
        </x14:conditionalFormatting>
        <x14:conditionalFormatting xmlns:xm="http://schemas.microsoft.com/office/excel/2006/main">
          <x14:cfRule type="cellIs" priority="6" operator="greaterThan" id="{66E145A9-92E1-4F13-9A21-94C759887327}">
            <xm:f>'Section A'!#REF!</xm:f>
            <x14:dxf>
              <font>
                <color rgb="FF9C0006"/>
              </font>
              <fill>
                <patternFill>
                  <bgColor rgb="FFFFC7CE"/>
                </patternFill>
              </fill>
            </x14:dxf>
          </x14:cfRule>
          <x14:cfRule type="cellIs" priority="7" operator="greaterThan" id="{1FA9747C-09BF-45D6-863B-C9AACA5647DF}">
            <xm:f>'Section A'!#REF!</xm:f>
            <x14:dxf>
              <font>
                <color rgb="FF9C0006"/>
              </font>
              <fill>
                <patternFill>
                  <bgColor rgb="FFFFC7CE"/>
                </patternFill>
              </fill>
            </x14:dxf>
          </x14:cfRule>
          <xm:sqref>F44:F48</xm:sqref>
        </x14:conditionalFormatting>
        <x14:conditionalFormatting xmlns:xm="http://schemas.microsoft.com/office/excel/2006/main">
          <x14:cfRule type="cellIs" priority="3" operator="greaterThan" id="{B1E557A0-63B8-45CF-801F-160A24A4ABF3}">
            <xm:f>'Section A'!#REF!</xm:f>
            <x14:dxf>
              <font>
                <color rgb="FF9C0006"/>
              </font>
              <fill>
                <patternFill>
                  <bgColor rgb="FFFFC7CE"/>
                </patternFill>
              </fill>
            </x14:dxf>
          </x14:cfRule>
          <x14:cfRule type="cellIs" priority="4" operator="greaterThan" id="{4459F327-4B26-4F95-8C6C-AF669C2D0B74}">
            <xm:f>'Section A'!#REF!</xm:f>
            <x14:dxf>
              <font>
                <color rgb="FF9C0006"/>
              </font>
              <fill>
                <patternFill>
                  <bgColor rgb="FFFFC7CE"/>
                </patternFill>
              </fill>
            </x14:dxf>
          </x14:cfRule>
          <xm:sqref>E36</xm:sqref>
        </x14:conditionalFormatting>
        <x14:conditionalFormatting xmlns:xm="http://schemas.microsoft.com/office/excel/2006/main">
          <x14:cfRule type="cellIs" priority="1" operator="greaterThan" id="{CA514B96-BCC6-4F6E-A8A1-06B374E99874}">
            <xm:f>'Section A'!#REF!</xm:f>
            <x14:dxf>
              <font>
                <color rgb="FF9C0006"/>
              </font>
              <fill>
                <patternFill>
                  <bgColor rgb="FFFFC7CE"/>
                </patternFill>
              </fill>
            </x14:dxf>
          </x14:cfRule>
          <x14:cfRule type="cellIs" priority="2" operator="greaterThan" id="{9507ECB0-915B-4C51-A0BC-F37AED8B3924}">
            <xm:f>'Section A'!#REF!</xm:f>
            <x14:dxf>
              <font>
                <color rgb="FF9C0006"/>
              </font>
              <fill>
                <patternFill>
                  <bgColor rgb="FFFFC7CE"/>
                </patternFill>
              </fill>
            </x14:dxf>
          </x14:cfRule>
          <xm:sqref>F36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workbookViewId="0">
      <selection activeCell="G2" sqref="G2"/>
    </sheetView>
  </sheetViews>
  <sheetFormatPr baseColWidth="10" defaultColWidth="11.44140625" defaultRowHeight="13.2" x14ac:dyDescent="0.25"/>
  <cols>
    <col min="1" max="1" width="6.6640625" style="1" customWidth="1"/>
    <col min="2" max="4" width="8.33203125" style="1" customWidth="1"/>
    <col min="5" max="6" width="9.109375" style="1" customWidth="1"/>
    <col min="7" max="7" width="11.109375" style="1" customWidth="1"/>
    <col min="8" max="8" width="7.33203125" style="1" customWidth="1"/>
    <col min="9" max="13" width="8.33203125" style="1" customWidth="1"/>
    <col min="14" max="14" width="4.5546875" style="1" customWidth="1"/>
    <col min="15" max="15" width="7.6640625" style="1" customWidth="1"/>
    <col min="16" max="19" width="8.33203125" style="1" customWidth="1"/>
    <col min="20" max="20" width="9.109375" style="1" bestFit="1" customWidth="1"/>
    <col min="21" max="21" width="9" style="1" customWidth="1"/>
    <col min="22" max="22" width="32.88671875" style="1" customWidth="1"/>
    <col min="23" max="16384" width="11.44140625" style="1"/>
  </cols>
  <sheetData>
    <row r="1" spans="1:25" ht="17.399999999999999" x14ac:dyDescent="0.3">
      <c r="A1" s="42" t="s">
        <v>0</v>
      </c>
      <c r="C1" s="9"/>
      <c r="D1" s="8"/>
      <c r="E1" s="8"/>
      <c r="F1" s="8"/>
      <c r="G1" s="215">
        <f>'Section B'!F12</f>
        <v>0</v>
      </c>
      <c r="H1" s="10" t="s">
        <v>1</v>
      </c>
      <c r="I1" s="8"/>
    </row>
    <row r="2" spans="1:25" ht="21" x14ac:dyDescent="0.45">
      <c r="A2" s="42" t="s">
        <v>2</v>
      </c>
      <c r="C2" s="8"/>
      <c r="D2" s="8"/>
      <c r="E2" s="8"/>
      <c r="F2" s="8"/>
      <c r="G2" s="142">
        <f>'Section B'!D25</f>
        <v>0</v>
      </c>
      <c r="H2" s="11" t="s">
        <v>3</v>
      </c>
      <c r="I2" s="8"/>
      <c r="J2" s="12"/>
    </row>
    <row r="3" spans="1:25" ht="19.2" x14ac:dyDescent="0.3">
      <c r="A3" s="8"/>
      <c r="B3" s="8"/>
      <c r="C3" s="8"/>
      <c r="D3" s="8"/>
      <c r="E3" s="8"/>
      <c r="F3" s="8"/>
      <c r="G3" s="41">
        <f>G2*60</f>
        <v>0</v>
      </c>
      <c r="H3" s="11" t="s">
        <v>4</v>
      </c>
      <c r="I3" s="8"/>
      <c r="V3" s="43"/>
      <c r="W3" s="132" t="s">
        <v>65</v>
      </c>
      <c r="X3" s="133" t="s">
        <v>25</v>
      </c>
      <c r="Y3" s="141" t="s">
        <v>81</v>
      </c>
    </row>
    <row r="4" spans="1:25" ht="17.399999999999999" x14ac:dyDescent="0.3">
      <c r="B4" s="13"/>
      <c r="C4" s="13"/>
      <c r="D4" s="2"/>
      <c r="E4" s="2"/>
      <c r="F4" s="2"/>
      <c r="G4" s="2"/>
      <c r="H4" s="14"/>
      <c r="I4" s="15"/>
      <c r="V4" s="135" t="s">
        <v>55</v>
      </c>
      <c r="W4" s="144"/>
      <c r="X4" s="134">
        <v>0.95</v>
      </c>
      <c r="Y4" s="134">
        <f t="shared" ref="Y4:Y8" si="0">W4*X4</f>
        <v>0</v>
      </c>
    </row>
    <row r="5" spans="1:25" ht="17.399999999999999" x14ac:dyDescent="0.3">
      <c r="B5" s="13"/>
      <c r="C5" s="13"/>
      <c r="D5" s="2"/>
      <c r="E5" s="2"/>
      <c r="F5" s="2"/>
      <c r="G5" s="2"/>
      <c r="H5" s="14"/>
      <c r="I5" s="15"/>
      <c r="V5" s="135" t="s">
        <v>56</v>
      </c>
      <c r="W5" s="144"/>
      <c r="X5" s="134">
        <v>0.2</v>
      </c>
      <c r="Y5" s="134">
        <f t="shared" si="0"/>
        <v>0</v>
      </c>
    </row>
    <row r="6" spans="1:25" ht="17.399999999999999" x14ac:dyDescent="0.3">
      <c r="B6" s="13"/>
      <c r="C6" s="13"/>
      <c r="D6" s="2"/>
      <c r="E6" s="2"/>
      <c r="F6" s="2"/>
      <c r="G6" s="2"/>
      <c r="H6" s="14"/>
      <c r="I6" s="15"/>
      <c r="V6" s="135" t="s">
        <v>57</v>
      </c>
      <c r="W6" s="144"/>
      <c r="X6" s="134">
        <v>0.4</v>
      </c>
      <c r="Y6" s="134">
        <f t="shared" si="0"/>
        <v>0</v>
      </c>
    </row>
    <row r="7" spans="1:25" ht="17.399999999999999" x14ac:dyDescent="0.3">
      <c r="B7" s="13"/>
      <c r="C7" s="13"/>
      <c r="D7" s="2"/>
      <c r="E7" s="2"/>
      <c r="F7" s="2"/>
      <c r="G7" s="2"/>
      <c r="H7" s="14"/>
      <c r="I7" s="15"/>
      <c r="V7" s="136" t="s">
        <v>79</v>
      </c>
      <c r="W7" s="144">
        <v>1000</v>
      </c>
      <c r="X7" s="134">
        <v>1</v>
      </c>
      <c r="Y7" s="134">
        <f t="shared" si="0"/>
        <v>1000</v>
      </c>
    </row>
    <row r="8" spans="1:25" ht="15.6" x14ac:dyDescent="0.25">
      <c r="A8" s="16" t="s">
        <v>5</v>
      </c>
      <c r="B8" s="6"/>
      <c r="C8" s="126" t="s">
        <v>6</v>
      </c>
      <c r="D8" s="127"/>
      <c r="E8" s="127"/>
      <c r="F8" s="7"/>
      <c r="H8" s="16" t="s">
        <v>5</v>
      </c>
      <c r="I8" s="128" t="s">
        <v>7</v>
      </c>
      <c r="J8" s="127"/>
      <c r="K8" s="127"/>
      <c r="L8" s="127"/>
      <c r="M8" s="7"/>
      <c r="O8" s="16" t="s">
        <v>5</v>
      </c>
      <c r="P8" s="128" t="s">
        <v>8</v>
      </c>
      <c r="Q8" s="127"/>
      <c r="R8" s="127"/>
      <c r="S8" s="127"/>
      <c r="T8" s="7"/>
      <c r="V8" s="135" t="s">
        <v>58</v>
      </c>
      <c r="W8" s="144"/>
      <c r="X8" s="134">
        <v>0.95</v>
      </c>
      <c r="Y8" s="134">
        <f t="shared" si="0"/>
        <v>0</v>
      </c>
    </row>
    <row r="9" spans="1:25" x14ac:dyDescent="0.25">
      <c r="A9" s="17" t="s">
        <v>9</v>
      </c>
      <c r="B9" s="146" t="s">
        <v>10</v>
      </c>
      <c r="C9" s="146" t="s">
        <v>11</v>
      </c>
      <c r="D9" s="147" t="s">
        <v>12</v>
      </c>
      <c r="E9" s="145" t="s">
        <v>13</v>
      </c>
      <c r="F9" s="33" t="s">
        <v>48</v>
      </c>
      <c r="H9" s="17" t="s">
        <v>9</v>
      </c>
      <c r="I9" s="146" t="s">
        <v>10</v>
      </c>
      <c r="J9" s="146" t="s">
        <v>11</v>
      </c>
      <c r="K9" s="147" t="s">
        <v>12</v>
      </c>
      <c r="L9" s="145" t="s">
        <v>13</v>
      </c>
      <c r="M9" s="33" t="s">
        <v>48</v>
      </c>
      <c r="O9" s="17" t="s">
        <v>9</v>
      </c>
      <c r="P9" s="146" t="s">
        <v>10</v>
      </c>
      <c r="Q9" s="146" t="s">
        <v>11</v>
      </c>
      <c r="R9" s="147" t="s">
        <v>12</v>
      </c>
      <c r="S9" s="148" t="s">
        <v>13</v>
      </c>
      <c r="T9" s="33" t="s">
        <v>48</v>
      </c>
      <c r="V9" s="135" t="s">
        <v>59</v>
      </c>
      <c r="W9" s="144"/>
      <c r="X9" s="134">
        <v>0.95</v>
      </c>
      <c r="Y9" s="134">
        <f>W9*X9</f>
        <v>0</v>
      </c>
    </row>
    <row r="10" spans="1:25" x14ac:dyDescent="0.25">
      <c r="A10" s="3">
        <v>6</v>
      </c>
      <c r="B10" s="44">
        <f>paramètres!$S$8*POWER(H10,paramètres!$T$8)</f>
        <v>1.5464087460099218</v>
      </c>
      <c r="C10" s="44">
        <f>paramètres!$S$9*POWER(H10,paramètres!$T$9)</f>
        <v>1.7890899429951446</v>
      </c>
      <c r="D10" s="45">
        <f>paramètres!$S$10*POWER(H10,paramètres!$T$10)</f>
        <v>1.832826513687118</v>
      </c>
      <c r="E10" s="44">
        <f>paramètres!$S$11*POWER(H10,paramètres!$T$11)</f>
        <v>2.12137284187046</v>
      </c>
      <c r="F10" s="130">
        <v>2.15</v>
      </c>
      <c r="H10" s="3">
        <v>6</v>
      </c>
      <c r="I10" s="44">
        <f t="shared" ref="I10:I21" si="1">H10*B10</f>
        <v>9.2784524760595311</v>
      </c>
      <c r="J10" s="45">
        <f t="shared" ref="J10:J21" si="2">H10*C10</f>
        <v>10.734539657970867</v>
      </c>
      <c r="K10" s="44">
        <f t="shared" ref="K10:K21" si="3">H10*D10</f>
        <v>10.996959082122707</v>
      </c>
      <c r="L10" s="130">
        <f>H10*E10</f>
        <v>12.728237051222759</v>
      </c>
      <c r="M10" s="130">
        <f>H10*F10</f>
        <v>12.899999999999999</v>
      </c>
      <c r="O10" s="4">
        <v>6</v>
      </c>
      <c r="P10" s="21">
        <f t="shared" ref="P10:T21" si="4">I10*$G$1*0.001</f>
        <v>0</v>
      </c>
      <c r="Q10" s="22">
        <f t="shared" si="4"/>
        <v>0</v>
      </c>
      <c r="R10" s="21">
        <f t="shared" si="4"/>
        <v>0</v>
      </c>
      <c r="S10" s="23">
        <f t="shared" si="4"/>
        <v>0</v>
      </c>
      <c r="T10" s="23">
        <f t="shared" si="4"/>
        <v>0</v>
      </c>
      <c r="V10" s="135" t="s">
        <v>60</v>
      </c>
      <c r="W10" s="144"/>
      <c r="X10" s="134">
        <v>0.95</v>
      </c>
      <c r="Y10" s="134">
        <f>W10*X10</f>
        <v>0</v>
      </c>
    </row>
    <row r="11" spans="1:25" x14ac:dyDescent="0.25">
      <c r="A11" s="4">
        <v>10</v>
      </c>
      <c r="B11" s="18">
        <f>paramètres!$S$8*POWER(H11,paramètres!$T$8)</f>
        <v>1.0798529679827462</v>
      </c>
      <c r="C11" s="18">
        <f>paramètres!$S$9*POWER(H11,paramètres!$T$9)</f>
        <v>1.253151550936568</v>
      </c>
      <c r="D11" s="19">
        <f>paramètres!$S$10*POWER(H11,paramètres!$T$10)</f>
        <v>1.3082814511218321</v>
      </c>
      <c r="E11" s="18">
        <f>paramètres!$S$11*POWER(H11,paramètres!$T$11)</f>
        <v>1.525894688013127</v>
      </c>
      <c r="F11" s="20">
        <f>paramètres!$S$13*POWER(H11,paramètres!$T$13)</f>
        <v>1.8285698070785579</v>
      </c>
      <c r="H11" s="4">
        <v>10</v>
      </c>
      <c r="I11" s="18">
        <f t="shared" si="1"/>
        <v>10.798529679827462</v>
      </c>
      <c r="J11" s="19">
        <f t="shared" si="2"/>
        <v>12.531515509365681</v>
      </c>
      <c r="K11" s="18">
        <f t="shared" si="3"/>
        <v>13.082814511218322</v>
      </c>
      <c r="L11" s="20">
        <f t="shared" ref="L11:L19" si="5">H11*E11</f>
        <v>15.258946880131269</v>
      </c>
      <c r="M11" s="20">
        <f t="shared" ref="M11:M21" si="6">H11*F11</f>
        <v>18.285698070785578</v>
      </c>
      <c r="O11" s="4">
        <v>10</v>
      </c>
      <c r="P11" s="21">
        <f t="shared" si="4"/>
        <v>0</v>
      </c>
      <c r="Q11" s="22">
        <f t="shared" si="4"/>
        <v>0</v>
      </c>
      <c r="R11" s="21">
        <f t="shared" si="4"/>
        <v>0</v>
      </c>
      <c r="S11" s="23">
        <f t="shared" si="4"/>
        <v>0</v>
      </c>
      <c r="T11" s="23">
        <f t="shared" si="4"/>
        <v>0</v>
      </c>
      <c r="V11" s="135" t="s">
        <v>61</v>
      </c>
      <c r="W11" s="144"/>
      <c r="X11" s="134">
        <v>0.7</v>
      </c>
      <c r="Y11" s="134">
        <f t="shared" ref="Y11:Y14" si="7">W11*X11</f>
        <v>0</v>
      </c>
    </row>
    <row r="12" spans="1:25" ht="12.75" customHeight="1" x14ac:dyDescent="0.25">
      <c r="A12" s="4">
        <v>12</v>
      </c>
      <c r="B12" s="18">
        <f>paramètres!$S$8*POWER(H12,paramètres!$T$8)</f>
        <v>0.94994882589753693</v>
      </c>
      <c r="C12" s="18">
        <f>paramètres!$S$9*POWER(H12,paramètres!$T$9)</f>
        <v>1.1036065450535866</v>
      </c>
      <c r="D12" s="19">
        <f>paramètres!$S$10*POWER(H12,paramètres!$T$10)</f>
        <v>1.1599561226515145</v>
      </c>
      <c r="E12" s="18">
        <f>paramètres!$S$11*POWER(H12,paramètres!$T$11)</f>
        <v>1.3566026386329204</v>
      </c>
      <c r="F12" s="20">
        <f>paramètres!$S$13*POWER(H12,paramètres!$T$13)</f>
        <v>1.636402618168991</v>
      </c>
      <c r="H12" s="4">
        <v>12</v>
      </c>
      <c r="I12" s="18">
        <f t="shared" si="1"/>
        <v>11.399385910770443</v>
      </c>
      <c r="J12" s="19">
        <f t="shared" si="2"/>
        <v>13.24327854064304</v>
      </c>
      <c r="K12" s="18">
        <f t="shared" si="3"/>
        <v>13.919473471818174</v>
      </c>
      <c r="L12" s="20">
        <f t="shared" si="5"/>
        <v>16.279231663595045</v>
      </c>
      <c r="M12" s="20">
        <f t="shared" si="6"/>
        <v>19.636831418027892</v>
      </c>
      <c r="O12" s="4">
        <v>12</v>
      </c>
      <c r="P12" s="21">
        <f t="shared" si="4"/>
        <v>0</v>
      </c>
      <c r="Q12" s="22">
        <f t="shared" si="4"/>
        <v>0</v>
      </c>
      <c r="R12" s="21">
        <f t="shared" si="4"/>
        <v>0</v>
      </c>
      <c r="S12" s="23">
        <f t="shared" si="4"/>
        <v>0</v>
      </c>
      <c r="T12" s="23">
        <f t="shared" si="4"/>
        <v>0</v>
      </c>
      <c r="V12" s="135" t="s">
        <v>62</v>
      </c>
      <c r="W12" s="144"/>
      <c r="X12" s="134">
        <v>0.7</v>
      </c>
      <c r="Y12" s="134">
        <f t="shared" si="7"/>
        <v>0</v>
      </c>
    </row>
    <row r="13" spans="1:25" x14ac:dyDescent="0.25">
      <c r="A13" s="4">
        <v>15</v>
      </c>
      <c r="B13" s="18">
        <f>paramètres!$S$8*POWER(H13,paramètres!$T$8)</f>
        <v>0.8120307420345787</v>
      </c>
      <c r="C13" s="18">
        <f>paramètres!$S$9*POWER(H13,paramètres!$T$9)</f>
        <v>0.9446436039661279</v>
      </c>
      <c r="D13" s="19">
        <f>paramètres!$S$10*POWER(H13,paramètres!$T$10)</f>
        <v>1.0011080486679063</v>
      </c>
      <c r="E13" s="18">
        <f>paramètres!$S$11*POWER(H13,paramètres!$T$11)</f>
        <v>1.1747506636908793</v>
      </c>
      <c r="F13" s="20">
        <f>paramètres!$S$13*POWER(H13,paramètres!$T$13)</f>
        <v>1.4284727753198723</v>
      </c>
      <c r="H13" s="4">
        <v>15</v>
      </c>
      <c r="I13" s="18">
        <f t="shared" si="1"/>
        <v>12.18046113051868</v>
      </c>
      <c r="J13" s="19">
        <f t="shared" si="2"/>
        <v>14.169654059491918</v>
      </c>
      <c r="K13" s="18">
        <f t="shared" si="3"/>
        <v>15.016620730018595</v>
      </c>
      <c r="L13" s="20">
        <f t="shared" si="5"/>
        <v>17.62125995536319</v>
      </c>
      <c r="M13" s="20">
        <f t="shared" si="6"/>
        <v>21.427091629798085</v>
      </c>
      <c r="O13" s="4">
        <v>15</v>
      </c>
      <c r="P13" s="21">
        <f t="shared" si="4"/>
        <v>0</v>
      </c>
      <c r="Q13" s="22">
        <f t="shared" si="4"/>
        <v>0</v>
      </c>
      <c r="R13" s="21">
        <f t="shared" si="4"/>
        <v>0</v>
      </c>
      <c r="S13" s="23">
        <f t="shared" si="4"/>
        <v>0</v>
      </c>
      <c r="T13" s="23">
        <f t="shared" si="4"/>
        <v>0</v>
      </c>
      <c r="V13" s="135" t="s">
        <v>63</v>
      </c>
      <c r="W13" s="144"/>
      <c r="X13" s="134">
        <v>0.15</v>
      </c>
      <c r="Y13" s="134">
        <f>W13*X13</f>
        <v>0</v>
      </c>
    </row>
    <row r="14" spans="1:25" x14ac:dyDescent="0.25">
      <c r="A14" s="4">
        <v>20</v>
      </c>
      <c r="B14" s="18">
        <f>paramètres!$S$8*POWER(H14,paramètres!$T$8)</f>
        <v>0.6633466486295978</v>
      </c>
      <c r="C14" s="18">
        <f>paramètres!$S$9*POWER(H14,paramètres!$T$9)</f>
        <v>0.77301102662416754</v>
      </c>
      <c r="D14" s="19">
        <f>paramètres!$S$10*POWER(H14,paramètres!$T$10)</f>
        <v>0.82798293676323287</v>
      </c>
      <c r="E14" s="18">
        <f>paramètres!$S$11*POWER(H14,paramètres!$T$11)</f>
        <v>0.97579865225830542</v>
      </c>
      <c r="F14" s="20">
        <f>paramètres!$S$13*POWER(H14,paramètres!$T$13)</f>
        <v>1.1989036355780152</v>
      </c>
      <c r="H14" s="4">
        <v>20</v>
      </c>
      <c r="I14" s="18">
        <f t="shared" si="1"/>
        <v>13.266932972591956</v>
      </c>
      <c r="J14" s="19">
        <f t="shared" si="2"/>
        <v>15.460220532483351</v>
      </c>
      <c r="K14" s="18">
        <f t="shared" si="3"/>
        <v>16.559658735264659</v>
      </c>
      <c r="L14" s="20">
        <f t="shared" si="5"/>
        <v>19.51597304516611</v>
      </c>
      <c r="M14" s="20">
        <f t="shared" si="6"/>
        <v>23.978072711560301</v>
      </c>
      <c r="O14" s="4">
        <v>20</v>
      </c>
      <c r="P14" s="21">
        <f t="shared" si="4"/>
        <v>0</v>
      </c>
      <c r="Q14" s="22">
        <f t="shared" si="4"/>
        <v>0</v>
      </c>
      <c r="R14" s="21">
        <f t="shared" si="4"/>
        <v>0</v>
      </c>
      <c r="S14" s="23">
        <f t="shared" si="4"/>
        <v>0</v>
      </c>
      <c r="T14" s="23">
        <f t="shared" si="4"/>
        <v>0</v>
      </c>
      <c r="V14" s="135" t="s">
        <v>64</v>
      </c>
      <c r="W14" s="144"/>
      <c r="X14" s="134">
        <v>0.3</v>
      </c>
      <c r="Y14" s="134">
        <f t="shared" si="7"/>
        <v>0</v>
      </c>
    </row>
    <row r="15" spans="1:25" x14ac:dyDescent="0.25">
      <c r="A15" s="4">
        <v>30</v>
      </c>
      <c r="B15" s="18">
        <f>paramètres!$S$8*POWER(H15,paramètres!$T$8)</f>
        <v>0.49882519869265179</v>
      </c>
      <c r="C15" s="18">
        <f>paramètres!$S$9*POWER(H15,paramètres!$T$9)</f>
        <v>0.58270679356384747</v>
      </c>
      <c r="D15" s="19">
        <f>paramètres!$S$10*POWER(H15,paramètres!$T$10)</f>
        <v>0.63357955693906109</v>
      </c>
      <c r="E15" s="18">
        <f>paramètres!$S$11*POWER(H15,paramètres!$T$11)</f>
        <v>0.75124458022836205</v>
      </c>
      <c r="F15" s="20">
        <f>paramètres!$S$13*POWER(H15,paramètres!$T$13)</f>
        <v>0.93657961376458199</v>
      </c>
      <c r="H15" s="4">
        <v>30</v>
      </c>
      <c r="I15" s="18">
        <f t="shared" si="1"/>
        <v>14.964755960779554</v>
      </c>
      <c r="J15" s="19">
        <f t="shared" si="2"/>
        <v>17.481203806915424</v>
      </c>
      <c r="K15" s="18">
        <f t="shared" si="3"/>
        <v>19.007386708171833</v>
      </c>
      <c r="L15" s="20">
        <f t="shared" si="5"/>
        <v>22.53733740685086</v>
      </c>
      <c r="M15" s="20">
        <f>H15*F15</f>
        <v>28.097388412937459</v>
      </c>
      <c r="O15" s="4">
        <v>30</v>
      </c>
      <c r="P15" s="21">
        <f t="shared" si="4"/>
        <v>0</v>
      </c>
      <c r="Q15" s="22">
        <f t="shared" si="4"/>
        <v>0</v>
      </c>
      <c r="R15" s="21">
        <f t="shared" si="4"/>
        <v>0</v>
      </c>
      <c r="S15" s="23">
        <f t="shared" si="4"/>
        <v>0</v>
      </c>
      <c r="T15" s="23">
        <f t="shared" si="4"/>
        <v>0</v>
      </c>
      <c r="V15" s="138" t="s">
        <v>80</v>
      </c>
      <c r="W15" s="139">
        <f>SUM(W4:W14)</f>
        <v>1000</v>
      </c>
      <c r="X15" s="140"/>
      <c r="Y15" s="143">
        <f>SUM(Y4:Y14)</f>
        <v>1000</v>
      </c>
    </row>
    <row r="16" spans="1:25" x14ac:dyDescent="0.25">
      <c r="A16" s="4">
        <v>45</v>
      </c>
      <c r="B16" s="18">
        <f>paramètres!$S$8*POWER(H16,paramètres!$T$8)</f>
        <v>0.37510791584582859</v>
      </c>
      <c r="C16" s="18">
        <f>paramètres!$S$9*POWER(H16,paramètres!$T$9)</f>
        <v>0.43925273452864444</v>
      </c>
      <c r="D16" s="19">
        <f>paramètres!$S$10*POWER(H16,paramètres!$T$10)</f>
        <v>0.48482044393372165</v>
      </c>
      <c r="E16" s="18">
        <f>paramètres!$S$11*POWER(H16,paramètres!$T$11)</f>
        <v>0.57836564747897734</v>
      </c>
      <c r="F16" s="20">
        <f>paramètres!$S$13*POWER(H16,paramètres!$T$13)</f>
        <v>0.73165294264580882</v>
      </c>
      <c r="H16" s="4">
        <v>45</v>
      </c>
      <c r="I16" s="18">
        <f t="shared" si="1"/>
        <v>16.879856213062286</v>
      </c>
      <c r="J16" s="19">
        <f t="shared" si="2"/>
        <v>19.766373053789</v>
      </c>
      <c r="K16" s="18">
        <f t="shared" si="3"/>
        <v>21.816919977017474</v>
      </c>
      <c r="L16" s="20">
        <f t="shared" si="5"/>
        <v>26.02645413655398</v>
      </c>
      <c r="M16" s="20">
        <f t="shared" si="6"/>
        <v>32.924382419061395</v>
      </c>
      <c r="O16" s="4">
        <v>45</v>
      </c>
      <c r="P16" s="21">
        <f t="shared" si="4"/>
        <v>0</v>
      </c>
      <c r="Q16" s="22">
        <f t="shared" si="4"/>
        <v>0</v>
      </c>
      <c r="R16" s="21">
        <f t="shared" si="4"/>
        <v>0</v>
      </c>
      <c r="S16" s="23">
        <f t="shared" si="4"/>
        <v>0</v>
      </c>
      <c r="T16" s="23">
        <f t="shared" si="4"/>
        <v>0</v>
      </c>
    </row>
    <row r="17" spans="1:21" x14ac:dyDescent="0.25">
      <c r="A17" s="4">
        <v>60</v>
      </c>
      <c r="B17" s="18">
        <f>paramètres!$S$8*POWER(H17,paramètres!$T$8)</f>
        <v>0.30642507231600336</v>
      </c>
      <c r="C17" s="18">
        <f>paramètres!$S$9*POWER(H17,paramètres!$T$9)</f>
        <v>0.35944477455821044</v>
      </c>
      <c r="D17" s="19">
        <f>paramètres!$S$10*POWER(H17,paramètres!$T$10)</f>
        <v>0.40097875100019253</v>
      </c>
      <c r="E17" s="18">
        <f>paramètres!$S$11*POWER(H17,paramètres!$T$11)</f>
        <v>0.48041549306244491</v>
      </c>
      <c r="F17" s="20">
        <f>paramètres!$S$13*POWER(H17,paramètres!$T$13)</f>
        <v>0.61406936700140446</v>
      </c>
      <c r="H17" s="4">
        <v>60</v>
      </c>
      <c r="I17" s="18">
        <f t="shared" si="1"/>
        <v>18.385504338960203</v>
      </c>
      <c r="J17" s="19">
        <f t="shared" si="2"/>
        <v>21.566686473492627</v>
      </c>
      <c r="K17" s="18">
        <f t="shared" si="3"/>
        <v>24.058725060011554</v>
      </c>
      <c r="L17" s="20">
        <f t="shared" si="5"/>
        <v>28.824929583746695</v>
      </c>
      <c r="M17" s="20">
        <f>H17*F17</f>
        <v>36.844162020084269</v>
      </c>
      <c r="O17" s="4">
        <v>60</v>
      </c>
      <c r="P17" s="21">
        <f t="shared" si="4"/>
        <v>0</v>
      </c>
      <c r="Q17" s="22">
        <f t="shared" si="4"/>
        <v>0</v>
      </c>
      <c r="R17" s="21">
        <f t="shared" si="4"/>
        <v>0</v>
      </c>
      <c r="S17" s="23">
        <f t="shared" si="4"/>
        <v>0</v>
      </c>
      <c r="T17" s="23">
        <f t="shared" si="4"/>
        <v>0</v>
      </c>
    </row>
    <row r="18" spans="1:21" x14ac:dyDescent="0.25">
      <c r="A18" s="4">
        <v>75</v>
      </c>
      <c r="B18" s="18">
        <f>paramètres!$S$8*POWER(H18,paramètres!$T$8)</f>
        <v>0.2619368244554286</v>
      </c>
      <c r="C18" s="18">
        <f>paramètres!$S$9*POWER(H18,paramètres!$T$9)</f>
        <v>0.30767052695303942</v>
      </c>
      <c r="D18" s="19">
        <f>paramètres!$S$10*POWER(H18,paramètres!$T$10)</f>
        <v>0.34606744783888399</v>
      </c>
      <c r="E18" s="18">
        <f>paramètres!$S$11*POWER(H18,paramètres!$T$11)</f>
        <v>0.41601601180078435</v>
      </c>
      <c r="F18" s="20">
        <f>paramètres!$S$13*POWER(H18,paramètres!$T$13)</f>
        <v>0.53604251373107203</v>
      </c>
      <c r="H18" s="4">
        <v>75</v>
      </c>
      <c r="I18" s="18">
        <f t="shared" si="1"/>
        <v>19.645261834157143</v>
      </c>
      <c r="J18" s="19">
        <f t="shared" si="2"/>
        <v>23.075289521477956</v>
      </c>
      <c r="K18" s="18">
        <f t="shared" si="3"/>
        <v>25.955058587916298</v>
      </c>
      <c r="L18" s="20">
        <f t="shared" si="5"/>
        <v>31.201200885058824</v>
      </c>
      <c r="M18" s="20">
        <f t="shared" si="6"/>
        <v>40.203188529830399</v>
      </c>
      <c r="O18" s="4">
        <v>75</v>
      </c>
      <c r="P18" s="21">
        <f t="shared" si="4"/>
        <v>0</v>
      </c>
      <c r="Q18" s="22">
        <f t="shared" si="4"/>
        <v>0</v>
      </c>
      <c r="R18" s="21">
        <f t="shared" si="4"/>
        <v>0</v>
      </c>
      <c r="S18" s="23">
        <f t="shared" si="4"/>
        <v>0</v>
      </c>
      <c r="T18" s="23">
        <f t="shared" si="4"/>
        <v>0</v>
      </c>
    </row>
    <row r="19" spans="1:21" x14ac:dyDescent="0.25">
      <c r="A19" s="4">
        <v>90</v>
      </c>
      <c r="B19" s="18">
        <f>paramètres!$S$8*POWER(H19,paramètres!$T$8)</f>
        <v>0.23042635083514379</v>
      </c>
      <c r="C19" s="18">
        <f>paramètres!$S$9*POWER(H19,paramètres!$T$9)</f>
        <v>0.27095462397320802</v>
      </c>
      <c r="D19" s="19">
        <f>paramètres!$S$10*POWER(H19,paramètres!$T$10)</f>
        <v>0.30683233690035333</v>
      </c>
      <c r="E19" s="18">
        <f>paramètres!$S$11*POWER(H19,paramètres!$T$11)</f>
        <v>0.36986066191589806</v>
      </c>
      <c r="F19" s="20">
        <f>paramètres!$S$13*POWER(H19,paramètres!$T$13)</f>
        <v>0.47970898869912715</v>
      </c>
      <c r="H19" s="4">
        <v>90</v>
      </c>
      <c r="I19" s="18">
        <f t="shared" si="1"/>
        <v>20.73837157516294</v>
      </c>
      <c r="J19" s="19">
        <f t="shared" si="2"/>
        <v>24.385916157588721</v>
      </c>
      <c r="K19" s="18">
        <f t="shared" si="3"/>
        <v>27.6149103210318</v>
      </c>
      <c r="L19" s="20">
        <f t="shared" si="5"/>
        <v>33.287459572430826</v>
      </c>
      <c r="M19" s="20">
        <f t="shared" si="6"/>
        <v>43.173808982921443</v>
      </c>
      <c r="O19" s="4">
        <v>90</v>
      </c>
      <c r="P19" s="21">
        <f t="shared" si="4"/>
        <v>0</v>
      </c>
      <c r="Q19" s="22">
        <f t="shared" si="4"/>
        <v>0</v>
      </c>
      <c r="R19" s="21">
        <f t="shared" si="4"/>
        <v>0</v>
      </c>
      <c r="S19" s="23">
        <f t="shared" si="4"/>
        <v>0</v>
      </c>
      <c r="T19" s="23">
        <f t="shared" si="4"/>
        <v>0</v>
      </c>
    </row>
    <row r="20" spans="1:21" x14ac:dyDescent="0.25">
      <c r="A20" s="4">
        <v>105</v>
      </c>
      <c r="B20" s="18">
        <f>paramètres!$S$8*POWER(H20,paramètres!$T$8)</f>
        <v>0.20676096432671057</v>
      </c>
      <c r="C20" s="18">
        <f>paramètres!$S$9*POWER(H20,paramètres!$T$9)</f>
        <v>0.24335185129895009</v>
      </c>
      <c r="D20" s="19">
        <f>paramètres!$S$10*POWER(H20,paramètres!$T$10)</f>
        <v>0.27715087024540935</v>
      </c>
      <c r="E20" s="18">
        <f>paramètres!$S$11*POWER(H20,paramètres!$T$11)</f>
        <v>0.334855520533134</v>
      </c>
      <c r="F20" s="20">
        <f>paramètres!$S$13*POWER(H20,paramètres!$T$13)</f>
        <v>0.4367242034554823</v>
      </c>
      <c r="H20" s="4">
        <v>105</v>
      </c>
      <c r="I20" s="18">
        <f t="shared" si="1"/>
        <v>21.709901254304608</v>
      </c>
      <c r="J20" s="19">
        <f t="shared" si="2"/>
        <v>25.55194438638976</v>
      </c>
      <c r="K20" s="18">
        <f t="shared" si="3"/>
        <v>29.100841375767981</v>
      </c>
      <c r="L20" s="20">
        <f>H20*E20</f>
        <v>35.159829655979067</v>
      </c>
      <c r="M20" s="20">
        <f t="shared" si="6"/>
        <v>45.856041362825643</v>
      </c>
      <c r="O20" s="4">
        <v>105</v>
      </c>
      <c r="P20" s="21">
        <f t="shared" si="4"/>
        <v>0</v>
      </c>
      <c r="Q20" s="22">
        <f t="shared" si="4"/>
        <v>0</v>
      </c>
      <c r="R20" s="21">
        <f t="shared" si="4"/>
        <v>0</v>
      </c>
      <c r="S20" s="23">
        <f t="shared" si="4"/>
        <v>0</v>
      </c>
      <c r="T20" s="23">
        <f t="shared" si="4"/>
        <v>0</v>
      </c>
    </row>
    <row r="21" spans="1:21" x14ac:dyDescent="0.25">
      <c r="A21" s="5">
        <v>120</v>
      </c>
      <c r="B21" s="24">
        <f>paramètres!$S$8*POWER(H21,paramètres!$T$8)</f>
        <v>0.18823492716477921</v>
      </c>
      <c r="C21" s="24">
        <f>paramètres!$S$9*POWER(H21,paramètres!$T$9)</f>
        <v>0.22172479776151122</v>
      </c>
      <c r="D21" s="25">
        <f>paramètres!$S$10*POWER(H21,paramètres!$T$10)</f>
        <v>0.25377074906023045</v>
      </c>
      <c r="E21" s="24">
        <f>paramètres!$S$11*POWER(H21,paramètres!$T$11)</f>
        <v>0.30722224432457684</v>
      </c>
      <c r="F21" s="26">
        <f>paramètres!$S$13*POWER(H21,paramètres!$T$13)</f>
        <v>0.40261519890853453</v>
      </c>
      <c r="H21" s="5">
        <v>120</v>
      </c>
      <c r="I21" s="24">
        <f t="shared" si="1"/>
        <v>22.588191259773506</v>
      </c>
      <c r="J21" s="25">
        <f t="shared" si="2"/>
        <v>26.606975731381347</v>
      </c>
      <c r="K21" s="24">
        <f t="shared" si="3"/>
        <v>30.452489887227653</v>
      </c>
      <c r="L21" s="26">
        <f>H21*E21</f>
        <v>36.866669318949221</v>
      </c>
      <c r="M21" s="26">
        <f t="shared" si="6"/>
        <v>48.313823869024141</v>
      </c>
      <c r="O21" s="5">
        <v>120</v>
      </c>
      <c r="P21" s="27">
        <f t="shared" si="4"/>
        <v>0</v>
      </c>
      <c r="Q21" s="28">
        <f t="shared" si="4"/>
        <v>0</v>
      </c>
      <c r="R21" s="27">
        <f t="shared" si="4"/>
        <v>0</v>
      </c>
      <c r="S21" s="29">
        <f>L21*$G$1*0.001</f>
        <v>0</v>
      </c>
      <c r="T21" s="29">
        <f t="shared" si="4"/>
        <v>0</v>
      </c>
    </row>
    <row r="25" spans="1:21" ht="17.399999999999999" x14ac:dyDescent="0.3">
      <c r="E25" s="2"/>
      <c r="F25" s="2"/>
      <c r="G25" s="2"/>
      <c r="H25" s="30"/>
      <c r="I25" s="31"/>
    </row>
    <row r="26" spans="1:21" ht="15.6" x14ac:dyDescent="0.25">
      <c r="E26" s="32" t="s">
        <v>14</v>
      </c>
      <c r="F26" s="124"/>
      <c r="H26" s="16" t="s">
        <v>5</v>
      </c>
      <c r="I26" s="129" t="s">
        <v>15</v>
      </c>
      <c r="J26" s="127"/>
      <c r="K26" s="127"/>
      <c r="L26" s="127"/>
      <c r="M26" s="7"/>
      <c r="O26" s="187" t="s">
        <v>82</v>
      </c>
      <c r="S26" s="186">
        <f>MAX(M28:M39)</f>
        <v>0</v>
      </c>
      <c r="T26" s="137" t="s">
        <v>83</v>
      </c>
      <c r="U26" s="188" t="s">
        <v>85</v>
      </c>
    </row>
    <row r="27" spans="1:21" ht="15.6" x14ac:dyDescent="0.25">
      <c r="E27" s="33" t="s">
        <v>16</v>
      </c>
      <c r="F27" s="124"/>
      <c r="G27" s="34"/>
      <c r="H27" s="35"/>
      <c r="I27" s="146" t="s">
        <v>10</v>
      </c>
      <c r="J27" s="146" t="s">
        <v>11</v>
      </c>
      <c r="K27" s="147" t="s">
        <v>12</v>
      </c>
      <c r="L27" s="148" t="s">
        <v>13</v>
      </c>
      <c r="M27" s="33" t="s">
        <v>48</v>
      </c>
      <c r="O27" s="187" t="s">
        <v>84</v>
      </c>
      <c r="S27" s="186">
        <f>MAX(L28:L39)</f>
        <v>0</v>
      </c>
      <c r="T27" s="137" t="s">
        <v>83</v>
      </c>
      <c r="U27" s="188" t="s">
        <v>85</v>
      </c>
    </row>
    <row r="28" spans="1:21" x14ac:dyDescent="0.25">
      <c r="E28" s="36">
        <f t="shared" ref="E28:E39" si="8">$G$3*H10</f>
        <v>0</v>
      </c>
      <c r="F28" s="125"/>
      <c r="H28" s="4">
        <v>6</v>
      </c>
      <c r="I28" s="37" t="str">
        <f t="shared" ref="I28:I39" si="9">IF(P10-E28&gt;0,P10-E28,"")</f>
        <v/>
      </c>
      <c r="J28" s="21" t="str">
        <f t="shared" ref="J28:J39" si="10">IF(Q10-E28&gt;0,Q10-E28,"")</f>
        <v/>
      </c>
      <c r="K28" s="22" t="str">
        <f t="shared" ref="K28:K39" si="11">IF(R10-E28&gt;0,R10-E28,"")</f>
        <v/>
      </c>
      <c r="L28" s="21" t="str">
        <f>IF(S10-E28&gt;0,S10-E28,"")</f>
        <v/>
      </c>
      <c r="M28" s="131" t="str">
        <f>IF(T10-E28&gt;0,T10-E28,"")</f>
        <v/>
      </c>
      <c r="O28" s="38"/>
    </row>
    <row r="29" spans="1:21" x14ac:dyDescent="0.25">
      <c r="E29" s="36">
        <f t="shared" si="8"/>
        <v>0</v>
      </c>
      <c r="F29" s="125"/>
      <c r="H29" s="4">
        <v>10</v>
      </c>
      <c r="I29" s="37" t="str">
        <f t="shared" si="9"/>
        <v/>
      </c>
      <c r="J29" s="21" t="str">
        <f t="shared" si="10"/>
        <v/>
      </c>
      <c r="K29" s="22" t="str">
        <f t="shared" si="11"/>
        <v/>
      </c>
      <c r="L29" s="21" t="str">
        <f t="shared" ref="L29:L39" si="12">IF(S11-E29&gt;0,S11-E29,"")</f>
        <v/>
      </c>
      <c r="M29" s="21" t="str">
        <f t="shared" ref="M29:M39" si="13">IF(T11-E29&gt;0,T11-E29,"")</f>
        <v/>
      </c>
    </row>
    <row r="30" spans="1:21" x14ac:dyDescent="0.25">
      <c r="E30" s="36">
        <f t="shared" si="8"/>
        <v>0</v>
      </c>
      <c r="F30" s="125"/>
      <c r="H30" s="4">
        <v>12</v>
      </c>
      <c r="I30" s="37" t="str">
        <f t="shared" si="9"/>
        <v/>
      </c>
      <c r="J30" s="21" t="str">
        <f t="shared" si="10"/>
        <v/>
      </c>
      <c r="K30" s="22" t="str">
        <f t="shared" si="11"/>
        <v/>
      </c>
      <c r="L30" s="21" t="str">
        <f t="shared" si="12"/>
        <v/>
      </c>
      <c r="M30" s="21" t="str">
        <f t="shared" si="13"/>
        <v/>
      </c>
    </row>
    <row r="31" spans="1:21" x14ac:dyDescent="0.25">
      <c r="E31" s="36">
        <f t="shared" si="8"/>
        <v>0</v>
      </c>
      <c r="F31" s="125"/>
      <c r="H31" s="4">
        <v>15</v>
      </c>
      <c r="I31" s="37" t="str">
        <f t="shared" si="9"/>
        <v/>
      </c>
      <c r="J31" s="21" t="str">
        <f t="shared" si="10"/>
        <v/>
      </c>
      <c r="K31" s="22" t="str">
        <f t="shared" si="11"/>
        <v/>
      </c>
      <c r="L31" s="21" t="str">
        <f t="shared" si="12"/>
        <v/>
      </c>
      <c r="M31" s="21" t="str">
        <f t="shared" si="13"/>
        <v/>
      </c>
    </row>
    <row r="32" spans="1:21" x14ac:dyDescent="0.25">
      <c r="E32" s="36">
        <f t="shared" si="8"/>
        <v>0</v>
      </c>
      <c r="F32" s="125"/>
      <c r="H32" s="4">
        <v>20</v>
      </c>
      <c r="I32" s="37" t="str">
        <f t="shared" si="9"/>
        <v/>
      </c>
      <c r="J32" s="21" t="str">
        <f t="shared" si="10"/>
        <v/>
      </c>
      <c r="K32" s="22" t="str">
        <f t="shared" si="11"/>
        <v/>
      </c>
      <c r="L32" s="21" t="str">
        <f t="shared" si="12"/>
        <v/>
      </c>
      <c r="M32" s="21" t="str">
        <f t="shared" si="13"/>
        <v/>
      </c>
      <c r="O32" s="38"/>
    </row>
    <row r="33" spans="5:15" x14ac:dyDescent="0.25">
      <c r="E33" s="36">
        <f t="shared" si="8"/>
        <v>0</v>
      </c>
      <c r="F33" s="125"/>
      <c r="H33" s="4">
        <v>30</v>
      </c>
      <c r="I33" s="37" t="str">
        <f t="shared" si="9"/>
        <v/>
      </c>
      <c r="J33" s="21" t="str">
        <f t="shared" si="10"/>
        <v/>
      </c>
      <c r="K33" s="22" t="str">
        <f t="shared" si="11"/>
        <v/>
      </c>
      <c r="L33" s="21" t="str">
        <f t="shared" si="12"/>
        <v/>
      </c>
      <c r="M33" s="21" t="str">
        <f t="shared" si="13"/>
        <v/>
      </c>
      <c r="O33" s="38"/>
    </row>
    <row r="34" spans="5:15" x14ac:dyDescent="0.25">
      <c r="E34" s="36">
        <f t="shared" si="8"/>
        <v>0</v>
      </c>
      <c r="F34" s="125"/>
      <c r="H34" s="4">
        <v>45</v>
      </c>
      <c r="I34" s="37" t="str">
        <f t="shared" si="9"/>
        <v/>
      </c>
      <c r="J34" s="21" t="str">
        <f t="shared" si="10"/>
        <v/>
      </c>
      <c r="K34" s="22" t="str">
        <f t="shared" si="11"/>
        <v/>
      </c>
      <c r="L34" s="21" t="str">
        <f t="shared" si="12"/>
        <v/>
      </c>
      <c r="M34" s="21" t="str">
        <f t="shared" si="13"/>
        <v/>
      </c>
      <c r="O34" s="38"/>
    </row>
    <row r="35" spans="5:15" x14ac:dyDescent="0.25">
      <c r="E35" s="36">
        <f t="shared" si="8"/>
        <v>0</v>
      </c>
      <c r="F35" s="125"/>
      <c r="H35" s="4">
        <v>60</v>
      </c>
      <c r="I35" s="37" t="str">
        <f t="shared" si="9"/>
        <v/>
      </c>
      <c r="J35" s="21" t="str">
        <f t="shared" si="10"/>
        <v/>
      </c>
      <c r="K35" s="22" t="str">
        <f t="shared" si="11"/>
        <v/>
      </c>
      <c r="L35" s="21" t="str">
        <f t="shared" si="12"/>
        <v/>
      </c>
      <c r="M35" s="21" t="str">
        <f t="shared" si="13"/>
        <v/>
      </c>
      <c r="O35" s="38"/>
    </row>
    <row r="36" spans="5:15" x14ac:dyDescent="0.25">
      <c r="E36" s="36">
        <f t="shared" si="8"/>
        <v>0</v>
      </c>
      <c r="F36" s="125"/>
      <c r="H36" s="4">
        <v>75</v>
      </c>
      <c r="I36" s="37" t="str">
        <f t="shared" si="9"/>
        <v/>
      </c>
      <c r="J36" s="21" t="str">
        <f t="shared" si="10"/>
        <v/>
      </c>
      <c r="K36" s="22" t="str">
        <f t="shared" si="11"/>
        <v/>
      </c>
      <c r="L36" s="21" t="str">
        <f t="shared" si="12"/>
        <v/>
      </c>
      <c r="M36" s="21" t="str">
        <f t="shared" si="13"/>
        <v/>
      </c>
      <c r="O36" s="38"/>
    </row>
    <row r="37" spans="5:15" x14ac:dyDescent="0.25">
      <c r="E37" s="36">
        <f t="shared" si="8"/>
        <v>0</v>
      </c>
      <c r="F37" s="125"/>
      <c r="H37" s="4">
        <v>90</v>
      </c>
      <c r="I37" s="37" t="str">
        <f t="shared" si="9"/>
        <v/>
      </c>
      <c r="J37" s="21" t="str">
        <f t="shared" si="10"/>
        <v/>
      </c>
      <c r="K37" s="22" t="str">
        <f t="shared" si="11"/>
        <v/>
      </c>
      <c r="L37" s="21" t="str">
        <f t="shared" si="12"/>
        <v/>
      </c>
      <c r="M37" s="21" t="str">
        <f t="shared" si="13"/>
        <v/>
      </c>
      <c r="O37" s="38"/>
    </row>
    <row r="38" spans="5:15" x14ac:dyDescent="0.25">
      <c r="E38" s="36">
        <f t="shared" si="8"/>
        <v>0</v>
      </c>
      <c r="F38" s="125"/>
      <c r="H38" s="4">
        <v>105</v>
      </c>
      <c r="I38" s="37" t="str">
        <f t="shared" si="9"/>
        <v/>
      </c>
      <c r="J38" s="21" t="str">
        <f t="shared" si="10"/>
        <v/>
      </c>
      <c r="K38" s="22" t="str">
        <f t="shared" si="11"/>
        <v/>
      </c>
      <c r="L38" s="21" t="str">
        <f>IF(S20-E38&gt;0,S20-E38,"")</f>
        <v/>
      </c>
      <c r="M38" s="21" t="str">
        <f t="shared" si="13"/>
        <v/>
      </c>
      <c r="O38" s="38"/>
    </row>
    <row r="39" spans="5:15" x14ac:dyDescent="0.25">
      <c r="E39" s="39">
        <f t="shared" si="8"/>
        <v>0</v>
      </c>
      <c r="F39" s="125"/>
      <c r="H39" s="5">
        <v>120</v>
      </c>
      <c r="I39" s="40" t="str">
        <f t="shared" si="9"/>
        <v/>
      </c>
      <c r="J39" s="27" t="str">
        <f t="shared" si="10"/>
        <v/>
      </c>
      <c r="K39" s="28" t="str">
        <f t="shared" si="11"/>
        <v/>
      </c>
      <c r="L39" s="27" t="str">
        <f t="shared" si="12"/>
        <v/>
      </c>
      <c r="M39" s="27" t="str">
        <f t="shared" si="13"/>
        <v/>
      </c>
      <c r="O39" s="38"/>
    </row>
  </sheetData>
  <conditionalFormatting sqref="M28:M39">
    <cfRule type="top10" dxfId="19" priority="9" rank="1"/>
  </conditionalFormatting>
  <conditionalFormatting sqref="L28:L39">
    <cfRule type="top10" dxfId="18" priority="8" rank="1"/>
  </conditionalFormatting>
  <conditionalFormatting sqref="K28:K39">
    <cfRule type="top10" dxfId="17" priority="7" rank="1"/>
  </conditionalFormatting>
  <conditionalFormatting sqref="J28:J39">
    <cfRule type="top10" dxfId="16" priority="6" rank="1"/>
  </conditionalFormatting>
  <conditionalFormatting sqref="I28:I39">
    <cfRule type="top10" dxfId="15" priority="5" rank="1"/>
  </conditionalFormatting>
  <conditionalFormatting sqref="S26">
    <cfRule type="cellIs" dxfId="14" priority="4" operator="equal">
      <formula>$M$39</formula>
    </cfRule>
  </conditionalFormatting>
  <conditionalFormatting sqref="S27">
    <cfRule type="cellIs" dxfId="13" priority="3" operator="equal">
      <formula>$L$39</formula>
    </cfRule>
  </conditionalFormatting>
  <conditionalFormatting sqref="U26">
    <cfRule type="expression" dxfId="12" priority="2">
      <formula>$M$39&lt;$S$26</formula>
    </cfRule>
  </conditionalFormatting>
  <conditionalFormatting sqref="U27">
    <cfRule type="expression" dxfId="11" priority="1">
      <formula>$L$39&lt;$S$27</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B1:H28"/>
  <sheetViews>
    <sheetView zoomScale="90" zoomScaleNormal="90" workbookViewId="0">
      <selection activeCell="C14" sqref="C14"/>
    </sheetView>
  </sheetViews>
  <sheetFormatPr baseColWidth="10" defaultColWidth="11.44140625" defaultRowHeight="13.2" x14ac:dyDescent="0.25"/>
  <cols>
    <col min="1" max="1" width="11.44140625" style="248"/>
    <col min="2" max="2" width="3.6640625" style="248" customWidth="1"/>
    <col min="3" max="3" width="34.6640625" style="248" customWidth="1"/>
    <col min="4" max="4" width="18.6640625" style="248" customWidth="1"/>
    <col min="5" max="5" width="14.88671875" style="248" customWidth="1"/>
    <col min="6" max="6" width="18.6640625" style="248" customWidth="1"/>
    <col min="7" max="7" width="3.6640625" style="248" customWidth="1"/>
    <col min="8" max="8" width="51.44140625" style="248" customWidth="1"/>
    <col min="9" max="9" width="11.44140625" style="248"/>
    <col min="10" max="10" width="18.6640625" style="248" customWidth="1"/>
    <col min="11" max="11" width="21.33203125" style="248" customWidth="1"/>
    <col min="12" max="16384" width="11.44140625" style="248"/>
  </cols>
  <sheetData>
    <row r="1" spans="2:8" ht="23.4" customHeight="1" x14ac:dyDescent="0.25">
      <c r="B1" s="203"/>
      <c r="C1" s="242" t="s">
        <v>171</v>
      </c>
      <c r="D1" s="205"/>
      <c r="E1" s="205"/>
      <c r="F1" s="205"/>
      <c r="G1" s="206"/>
    </row>
    <row r="2" spans="2:8" ht="31.2" customHeight="1" x14ac:dyDescent="0.3">
      <c r="B2" s="203"/>
      <c r="C2" s="229" t="s">
        <v>110</v>
      </c>
      <c r="D2" s="282"/>
      <c r="E2" s="282"/>
      <c r="F2" s="282"/>
      <c r="G2" s="206"/>
    </row>
    <row r="3" spans="2:8" ht="13.8" x14ac:dyDescent="0.25">
      <c r="B3" s="203"/>
      <c r="C3" s="282"/>
      <c r="D3" s="207"/>
      <c r="E3" s="207"/>
      <c r="G3" s="206"/>
    </row>
    <row r="4" spans="2:8" ht="27.6" x14ac:dyDescent="0.25">
      <c r="B4" s="203"/>
      <c r="C4" s="210" t="s">
        <v>95</v>
      </c>
      <c r="D4" s="208" t="s">
        <v>96</v>
      </c>
      <c r="E4" s="208" t="s">
        <v>103</v>
      </c>
      <c r="F4" s="208" t="s">
        <v>172</v>
      </c>
      <c r="G4" s="206"/>
    </row>
    <row r="5" spans="2:8" ht="25.2" customHeight="1" x14ac:dyDescent="0.25">
      <c r="B5" s="203"/>
      <c r="C5" s="211" t="s">
        <v>97</v>
      </c>
      <c r="D5" s="225"/>
      <c r="E5" s="249">
        <v>1</v>
      </c>
      <c r="F5" s="291">
        <f>D5*E5</f>
        <v>0</v>
      </c>
      <c r="G5" s="206"/>
    </row>
    <row r="6" spans="2:8" ht="29.4" customHeight="1" x14ac:dyDescent="0.25">
      <c r="B6" s="203"/>
      <c r="C6" s="211" t="s">
        <v>133</v>
      </c>
      <c r="D6" s="225"/>
      <c r="E6" s="262">
        <v>0.5</v>
      </c>
      <c r="F6" s="291">
        <f t="shared" ref="F6:F10" si="0">D6*E6</f>
        <v>0</v>
      </c>
      <c r="G6" s="206"/>
      <c r="H6" s="254"/>
    </row>
    <row r="7" spans="2:8" ht="25.2" customHeight="1" x14ac:dyDescent="0.25">
      <c r="B7" s="203"/>
      <c r="C7" s="211" t="s">
        <v>98</v>
      </c>
      <c r="D7" s="225"/>
      <c r="E7" s="250">
        <v>0.3</v>
      </c>
      <c r="F7" s="291">
        <f t="shared" si="0"/>
        <v>0</v>
      </c>
      <c r="G7" s="206"/>
    </row>
    <row r="8" spans="2:8" ht="25.2" customHeight="1" x14ac:dyDescent="0.25">
      <c r="B8" s="203"/>
      <c r="C8" s="211" t="s">
        <v>164</v>
      </c>
      <c r="D8" s="225"/>
      <c r="E8" s="250">
        <v>1</v>
      </c>
      <c r="F8" s="291">
        <f t="shared" si="0"/>
        <v>0</v>
      </c>
      <c r="G8" s="206"/>
      <c r="H8" s="254"/>
    </row>
    <row r="9" spans="2:8" ht="25.2" customHeight="1" x14ac:dyDescent="0.25">
      <c r="B9" s="203"/>
      <c r="C9" s="211" t="s">
        <v>99</v>
      </c>
      <c r="D9" s="225"/>
      <c r="E9" s="249">
        <v>0</v>
      </c>
      <c r="F9" s="291">
        <f t="shared" si="0"/>
        <v>0</v>
      </c>
      <c r="G9" s="206"/>
    </row>
    <row r="10" spans="2:8" ht="25.2" customHeight="1" x14ac:dyDescent="0.25">
      <c r="B10" s="203"/>
      <c r="C10" s="211" t="s">
        <v>101</v>
      </c>
      <c r="D10" s="225">
        <f>'Estimation de V30'!D10</f>
        <v>0</v>
      </c>
      <c r="E10" s="225">
        <f>'Estimation de V30'!E10</f>
        <v>0</v>
      </c>
      <c r="F10" s="291">
        <f t="shared" si="0"/>
        <v>0</v>
      </c>
      <c r="G10" s="206"/>
    </row>
    <row r="11" spans="2:8" ht="25.2" customHeight="1" x14ac:dyDescent="0.25">
      <c r="B11" s="203"/>
      <c r="C11" s="212" t="s">
        <v>100</v>
      </c>
      <c r="D11" s="292">
        <f>SUM(D5:D9)</f>
        <v>0</v>
      </c>
      <c r="E11" s="214"/>
      <c r="F11" s="292">
        <f>SUM(F5:F9)</f>
        <v>0</v>
      </c>
      <c r="G11" s="206"/>
    </row>
    <row r="12" spans="2:8" ht="13.8" x14ac:dyDescent="0.25">
      <c r="B12" s="203"/>
      <c r="C12" s="213"/>
      <c r="D12" s="222"/>
      <c r="E12" s="222"/>
      <c r="F12" s="222"/>
      <c r="G12" s="206"/>
    </row>
    <row r="13" spans="2:8" ht="15.6" x14ac:dyDescent="0.3">
      <c r="B13" s="203"/>
      <c r="C13" s="229" t="s">
        <v>111</v>
      </c>
      <c r="D13" s="222"/>
      <c r="E13" s="222"/>
      <c r="F13" s="222"/>
      <c r="G13" s="206"/>
    </row>
    <row r="14" spans="2:8" s="263" customFormat="1" ht="24.6" customHeight="1" x14ac:dyDescent="0.25">
      <c r="B14" s="230"/>
      <c r="C14" s="231" t="s">
        <v>173</v>
      </c>
      <c r="D14" s="232"/>
      <c r="E14" s="232"/>
      <c r="F14" s="232"/>
      <c r="G14" s="233"/>
    </row>
    <row r="15" spans="2:8" ht="25.2" customHeight="1" x14ac:dyDescent="0.25">
      <c r="B15" s="203"/>
      <c r="C15" s="305" t="s">
        <v>107</v>
      </c>
      <c r="D15" s="305"/>
      <c r="E15" s="226"/>
      <c r="F15" s="236" t="s">
        <v>106</v>
      </c>
      <c r="G15" s="206"/>
    </row>
    <row r="16" spans="2:8" ht="25.2" customHeight="1" x14ac:dyDescent="0.25">
      <c r="B16" s="203"/>
      <c r="C16" s="305" t="s">
        <v>108</v>
      </c>
      <c r="D16" s="305"/>
      <c r="E16" s="227"/>
      <c r="F16" s="236" t="s">
        <v>88</v>
      </c>
      <c r="G16" s="206"/>
    </row>
    <row r="17" spans="2:8" ht="25.2" customHeight="1" x14ac:dyDescent="0.25">
      <c r="B17" s="203"/>
      <c r="C17" s="305" t="s">
        <v>109</v>
      </c>
      <c r="D17" s="305"/>
      <c r="E17" s="294">
        <f>IF(OR(ISBLANK(E15),E15=0),E16,E15/1000/3600)</f>
        <v>0</v>
      </c>
      <c r="F17" s="237" t="s">
        <v>88</v>
      </c>
      <c r="G17" s="206"/>
    </row>
    <row r="18" spans="2:8" ht="25.2" customHeight="1" x14ac:dyDescent="0.25">
      <c r="B18" s="203"/>
      <c r="C18" s="234"/>
      <c r="D18" s="234"/>
      <c r="E18" s="235"/>
      <c r="F18" s="237"/>
      <c r="G18" s="206"/>
    </row>
    <row r="19" spans="2:8" ht="15.6" x14ac:dyDescent="0.3">
      <c r="B19" s="203"/>
      <c r="C19" s="229" t="s">
        <v>118</v>
      </c>
      <c r="D19" s="222"/>
      <c r="E19" s="222"/>
      <c r="F19" s="222"/>
      <c r="G19" s="206"/>
    </row>
    <row r="20" spans="2:8" ht="8.4" customHeight="1" x14ac:dyDescent="0.25">
      <c r="B20" s="203"/>
      <c r="C20" s="282"/>
      <c r="D20" s="282"/>
      <c r="E20" s="282"/>
      <c r="F20" s="282"/>
      <c r="G20" s="206"/>
    </row>
    <row r="21" spans="2:8" s="264" customFormat="1" ht="17.399999999999999" customHeight="1" x14ac:dyDescent="0.25">
      <c r="B21" s="203"/>
      <c r="C21" s="243" t="s">
        <v>138</v>
      </c>
      <c r="D21" s="295">
        <f>D8*E17</f>
        <v>0</v>
      </c>
      <c r="E21" s="235"/>
      <c r="F21" s="228"/>
      <c r="G21" s="206"/>
    </row>
    <row r="22" spans="2:8" s="264" customFormat="1" ht="17.399999999999999" customHeight="1" x14ac:dyDescent="0.25">
      <c r="B22" s="203"/>
      <c r="C22" s="241" t="s">
        <v>115</v>
      </c>
      <c r="D22" s="296">
        <f>D21*1000</f>
        <v>0</v>
      </c>
      <c r="E22" s="235"/>
      <c r="F22" s="228"/>
      <c r="G22" s="206"/>
    </row>
    <row r="23" spans="2:8" s="264" customFormat="1" ht="17.25" customHeight="1" thickBot="1" x14ac:dyDescent="0.3">
      <c r="B23" s="203"/>
      <c r="C23" s="257"/>
      <c r="D23" s="257"/>
      <c r="E23" s="235"/>
      <c r="F23" s="228"/>
      <c r="G23" s="206"/>
    </row>
    <row r="24" spans="2:8" s="264" customFormat="1" ht="21" customHeight="1" thickTop="1" thickBot="1" x14ac:dyDescent="0.3">
      <c r="B24" s="203"/>
      <c r="C24" s="288" t="s">
        <v>139</v>
      </c>
      <c r="D24" s="303" t="e">
        <f>'méth pluie 0-24H coef SDA_2024'!B38</f>
        <v>#DIV/0!</v>
      </c>
      <c r="E24" s="228"/>
      <c r="F24" s="222"/>
      <c r="G24" s="206"/>
    </row>
    <row r="25" spans="2:8" s="264" customFormat="1" ht="17.25" customHeight="1" thickTop="1" x14ac:dyDescent="0.25">
      <c r="B25" s="203"/>
      <c r="C25" s="261"/>
      <c r="D25" s="266"/>
      <c r="E25" s="266"/>
      <c r="F25" s="222"/>
      <c r="G25" s="206"/>
      <c r="H25" s="265"/>
    </row>
    <row r="26" spans="2:8" ht="13.8" x14ac:dyDescent="0.25">
      <c r="B26" s="217"/>
      <c r="C26" s="218"/>
      <c r="D26" s="219"/>
      <c r="E26" s="219"/>
      <c r="F26" s="220"/>
      <c r="G26" s="221"/>
    </row>
    <row r="28" spans="2:8" x14ac:dyDescent="0.25">
      <c r="E28" s="302"/>
    </row>
  </sheetData>
  <sheetProtection algorithmName="SHA-512" hashValue="d2VplxSl/k2rIsLJur+pDIberscot4pH5xfJiAwVyoDDPQxZ1VZJJuYyu/vlBTMIKkSDh3atRa7tGHfgeXYQjA==" saltValue="1xBJahaqJpBjRU2UD9f44g==" spinCount="100000" sheet="1" objects="1" scenarios="1"/>
  <mergeCells count="3">
    <mergeCell ref="C15:D15"/>
    <mergeCell ref="C16:D16"/>
    <mergeCell ref="C17:D17"/>
  </mergeCells>
  <conditionalFormatting sqref="D11:E14 D26:E26">
    <cfRule type="cellIs" dxfId="10" priority="13" operator="greaterThan">
      <formula>#REF!</formula>
    </cfRule>
    <cfRule type="cellIs" dxfId="9" priority="14" operator="greaterThan">
      <formula>#REF!</formula>
    </cfRule>
  </conditionalFormatting>
  <conditionalFormatting sqref="F11:F14 F24:F25">
    <cfRule type="cellIs" dxfId="8" priority="11" operator="greaterThan">
      <formula>#REF!</formula>
    </cfRule>
    <cfRule type="cellIs" dxfId="7" priority="12" operator="greaterThan">
      <formula>#REF!</formula>
    </cfRule>
  </conditionalFormatting>
  <conditionalFormatting sqref="D19:E19">
    <cfRule type="cellIs" dxfId="6" priority="8" operator="greaterThan">
      <formula>#REF!</formula>
    </cfRule>
    <cfRule type="cellIs" dxfId="5" priority="9" operator="greaterThan">
      <formula>#REF!</formula>
    </cfRule>
  </conditionalFormatting>
  <conditionalFormatting sqref="F19">
    <cfRule type="cellIs" dxfId="4" priority="6" operator="greaterThan">
      <formula>#REF!</formula>
    </cfRule>
    <cfRule type="cellIs" dxfId="3" priority="7" operator="greaterThan">
      <formula>#REF!</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3"/>
  <sheetViews>
    <sheetView showGridLines="0" topLeftCell="A4" zoomScale="80" zoomScaleNormal="80" workbookViewId="0">
      <selection activeCell="B29" sqref="B29"/>
    </sheetView>
  </sheetViews>
  <sheetFormatPr baseColWidth="10" defaultColWidth="9.109375" defaultRowHeight="14.4" x14ac:dyDescent="0.3"/>
  <cols>
    <col min="1" max="1" width="18.88671875" style="157" customWidth="1"/>
    <col min="2" max="2" width="19.109375" style="157" customWidth="1"/>
    <col min="3" max="3" width="9" style="157" customWidth="1"/>
    <col min="4" max="4" width="8" style="157" customWidth="1"/>
    <col min="5" max="5" width="7" style="157" customWidth="1"/>
    <col min="6" max="6" width="8.88671875" style="157" customWidth="1"/>
    <col min="7" max="7" width="9.5546875" style="157" customWidth="1"/>
    <col min="8" max="8" width="9.6640625" style="157" customWidth="1"/>
    <col min="9" max="9" width="1" style="157" customWidth="1"/>
    <col min="10" max="16384" width="9.109375" style="157"/>
  </cols>
  <sheetData>
    <row r="1" spans="1:9" ht="28.8" x14ac:dyDescent="0.3">
      <c r="A1" s="149" t="s">
        <v>52</v>
      </c>
      <c r="B1" s="149" t="s">
        <v>66</v>
      </c>
      <c r="C1" s="150" t="s">
        <v>67</v>
      </c>
      <c r="D1" s="151" t="s">
        <v>68</v>
      </c>
      <c r="E1" s="152" t="s">
        <v>69</v>
      </c>
      <c r="F1" s="153" t="s">
        <v>70</v>
      </c>
      <c r="G1" s="154" t="s">
        <v>69</v>
      </c>
      <c r="H1" s="155" t="s">
        <v>71</v>
      </c>
      <c r="I1" s="156"/>
    </row>
    <row r="2" spans="1:9" x14ac:dyDescent="0.3">
      <c r="A2" s="158">
        <v>0</v>
      </c>
      <c r="B2" s="159">
        <f>A2/60</f>
        <v>0</v>
      </c>
      <c r="C2" s="160" t="e">
        <f>(6/1000)*(($B$30*A2)/$B$29)</f>
        <v>#DIV/0!</v>
      </c>
      <c r="D2" s="161">
        <v>0</v>
      </c>
      <c r="E2" s="162" t="e">
        <f>D2-C2</f>
        <v>#DIV/0!</v>
      </c>
      <c r="F2" s="161">
        <v>0</v>
      </c>
      <c r="G2" s="162" t="e">
        <f>F2-C2</f>
        <v>#DIV/0!</v>
      </c>
      <c r="H2" s="163">
        <v>0</v>
      </c>
      <c r="I2" s="162" t="e">
        <f>H2-C2</f>
        <v>#DIV/0!</v>
      </c>
    </row>
    <row r="3" spans="1:9" x14ac:dyDescent="0.3">
      <c r="A3" s="164">
        <v>6</v>
      </c>
      <c r="B3" s="163">
        <f t="shared" ref="B3:B27" si="0">A3/60</f>
        <v>0.1</v>
      </c>
      <c r="C3" s="160" t="e">
        <f t="shared" ref="C3:C27" si="1">(6/1000)*(($B$30*A3)/$B$29)</f>
        <v>#DIV/0!</v>
      </c>
      <c r="D3" s="165">
        <v>14.97506387174554</v>
      </c>
      <c r="E3" s="162" t="e">
        <f t="shared" ref="E3:E27" si="2">D3-C3</f>
        <v>#DIV/0!</v>
      </c>
      <c r="F3" s="165">
        <v>12.7</v>
      </c>
      <c r="G3" s="162" t="e">
        <f t="shared" ref="G3:G27" si="3">F3-C3</f>
        <v>#DIV/0!</v>
      </c>
      <c r="H3" s="163">
        <v>17.100000000000001</v>
      </c>
      <c r="I3" s="162" t="e">
        <f t="shared" ref="I3:I27" si="4">H3-C3</f>
        <v>#DIV/0!</v>
      </c>
    </row>
    <row r="4" spans="1:9" x14ac:dyDescent="0.3">
      <c r="A4" s="164">
        <v>10</v>
      </c>
      <c r="B4" s="163">
        <f t="shared" si="0"/>
        <v>0.16666666666666666</v>
      </c>
      <c r="C4" s="160" t="e">
        <f t="shared" si="1"/>
        <v>#DIV/0!</v>
      </c>
      <c r="D4" s="165">
        <v>18.285698070785578</v>
      </c>
      <c r="E4" s="162" t="e">
        <f t="shared" si="2"/>
        <v>#DIV/0!</v>
      </c>
      <c r="F4" s="165">
        <v>15.3</v>
      </c>
      <c r="G4" s="162" t="e">
        <f t="shared" si="3"/>
        <v>#DIV/0!</v>
      </c>
      <c r="H4" s="163">
        <v>21.4</v>
      </c>
      <c r="I4" s="162" t="e">
        <f t="shared" si="4"/>
        <v>#DIV/0!</v>
      </c>
    </row>
    <row r="5" spans="1:9" x14ac:dyDescent="0.3">
      <c r="A5" s="164">
        <v>12</v>
      </c>
      <c r="B5" s="163">
        <f t="shared" si="0"/>
        <v>0.2</v>
      </c>
      <c r="C5" s="160" t="e">
        <f t="shared" si="1"/>
        <v>#DIV/0!</v>
      </c>
      <c r="D5" s="165">
        <v>19.636831418027892</v>
      </c>
      <c r="E5" s="162" t="e">
        <f t="shared" si="2"/>
        <v>#DIV/0!</v>
      </c>
      <c r="F5" s="165">
        <v>16.3</v>
      </c>
      <c r="G5" s="162" t="e">
        <f t="shared" si="3"/>
        <v>#DIV/0!</v>
      </c>
      <c r="H5" s="163">
        <v>23.2</v>
      </c>
      <c r="I5" s="162" t="e">
        <f t="shared" si="4"/>
        <v>#DIV/0!</v>
      </c>
    </row>
    <row r="6" spans="1:9" x14ac:dyDescent="0.3">
      <c r="A6" s="164">
        <v>15</v>
      </c>
      <c r="B6" s="163">
        <f t="shared" si="0"/>
        <v>0.25</v>
      </c>
      <c r="C6" s="160" t="e">
        <f t="shared" si="1"/>
        <v>#DIV/0!</v>
      </c>
      <c r="D6" s="165">
        <v>21.427091629798085</v>
      </c>
      <c r="E6" s="162" t="e">
        <f t="shared" si="2"/>
        <v>#DIV/0!</v>
      </c>
      <c r="F6" s="165">
        <v>17.600000000000001</v>
      </c>
      <c r="G6" s="162" t="e">
        <f t="shared" si="3"/>
        <v>#DIV/0!</v>
      </c>
      <c r="H6" s="163">
        <v>25.6</v>
      </c>
      <c r="I6" s="162" t="e">
        <f t="shared" si="4"/>
        <v>#DIV/0!</v>
      </c>
    </row>
    <row r="7" spans="1:9" x14ac:dyDescent="0.3">
      <c r="A7" s="164">
        <v>20</v>
      </c>
      <c r="B7" s="163">
        <f t="shared" si="0"/>
        <v>0.33333333333333331</v>
      </c>
      <c r="C7" s="160" t="e">
        <f t="shared" si="1"/>
        <v>#DIV/0!</v>
      </c>
      <c r="D7" s="165">
        <v>23.978072711560301</v>
      </c>
      <c r="E7" s="162" t="e">
        <f t="shared" si="2"/>
        <v>#DIV/0!</v>
      </c>
      <c r="F7" s="165">
        <v>19.5</v>
      </c>
      <c r="G7" s="162" t="e">
        <f t="shared" si="3"/>
        <v>#DIV/0!</v>
      </c>
      <c r="H7" s="163">
        <v>29.1</v>
      </c>
      <c r="I7" s="162" t="e">
        <f t="shared" si="4"/>
        <v>#DIV/0!</v>
      </c>
    </row>
    <row r="8" spans="1:9" x14ac:dyDescent="0.3">
      <c r="A8" s="164">
        <v>25</v>
      </c>
      <c r="B8" s="163">
        <f t="shared" si="0"/>
        <v>0.41666666666666669</v>
      </c>
      <c r="C8" s="160" t="e">
        <f t="shared" si="1"/>
        <v>#DIV/0!</v>
      </c>
      <c r="D8" s="165">
        <v>26.164117324187025</v>
      </c>
      <c r="E8" s="162" t="e">
        <f t="shared" si="2"/>
        <v>#DIV/0!</v>
      </c>
      <c r="F8" s="165">
        <v>21.1</v>
      </c>
      <c r="G8" s="162" t="e">
        <f t="shared" si="3"/>
        <v>#DIV/0!</v>
      </c>
      <c r="H8" s="163">
        <v>32.1</v>
      </c>
      <c r="I8" s="162" t="e">
        <f t="shared" si="4"/>
        <v>#DIV/0!</v>
      </c>
    </row>
    <row r="9" spans="1:9" x14ac:dyDescent="0.3">
      <c r="A9" s="164">
        <v>30</v>
      </c>
      <c r="B9" s="163">
        <f t="shared" si="0"/>
        <v>0.5</v>
      </c>
      <c r="C9" s="160" t="e">
        <f t="shared" si="1"/>
        <v>#DIV/0!</v>
      </c>
      <c r="D9" s="165">
        <v>28.097388412937459</v>
      </c>
      <c r="E9" s="162" t="e">
        <f t="shared" si="2"/>
        <v>#DIV/0!</v>
      </c>
      <c r="F9" s="165">
        <v>22.5</v>
      </c>
      <c r="G9" s="162" t="e">
        <f t="shared" si="3"/>
        <v>#DIV/0!</v>
      </c>
      <c r="H9" s="163">
        <v>34.700000000000003</v>
      </c>
      <c r="I9" s="162" t="e">
        <f t="shared" si="4"/>
        <v>#DIV/0!</v>
      </c>
    </row>
    <row r="10" spans="1:9" x14ac:dyDescent="0.3">
      <c r="A10" s="164">
        <v>45</v>
      </c>
      <c r="B10" s="163">
        <f t="shared" si="0"/>
        <v>0.75</v>
      </c>
      <c r="C10" s="160" t="e">
        <f t="shared" si="1"/>
        <v>#DIV/0!</v>
      </c>
      <c r="D10" s="165">
        <v>32.924382419061395</v>
      </c>
      <c r="E10" s="162" t="e">
        <f t="shared" si="2"/>
        <v>#DIV/0!</v>
      </c>
      <c r="F10" s="165">
        <v>26</v>
      </c>
      <c r="G10" s="162" t="e">
        <f t="shared" si="3"/>
        <v>#DIV/0!</v>
      </c>
      <c r="H10" s="163">
        <v>41.5</v>
      </c>
      <c r="I10" s="162" t="e">
        <f t="shared" si="4"/>
        <v>#DIV/0!</v>
      </c>
    </row>
    <row r="11" spans="1:9" x14ac:dyDescent="0.3">
      <c r="A11" s="164">
        <v>60</v>
      </c>
      <c r="B11" s="163">
        <f t="shared" si="0"/>
        <v>1</v>
      </c>
      <c r="C11" s="160" t="e">
        <f t="shared" si="1"/>
        <v>#DIV/0!</v>
      </c>
      <c r="D11" s="165">
        <v>36.844162020084269</v>
      </c>
      <c r="E11" s="162" t="e">
        <f t="shared" si="2"/>
        <v>#DIV/0!</v>
      </c>
      <c r="F11" s="165">
        <v>28.8</v>
      </c>
      <c r="G11" s="162" t="e">
        <f t="shared" si="3"/>
        <v>#DIV/0!</v>
      </c>
      <c r="H11" s="163">
        <v>47.1</v>
      </c>
      <c r="I11" s="162" t="e">
        <f t="shared" si="4"/>
        <v>#DIV/0!</v>
      </c>
    </row>
    <row r="12" spans="1:9" x14ac:dyDescent="0.3">
      <c r="A12" s="164">
        <v>75</v>
      </c>
      <c r="B12" s="163">
        <f t="shared" si="0"/>
        <v>1.25</v>
      </c>
      <c r="C12" s="160" t="e">
        <f>(6/1000)*(($B$30*A12)/$B$29)</f>
        <v>#DIV/0!</v>
      </c>
      <c r="D12" s="165">
        <v>40.203188529830399</v>
      </c>
      <c r="E12" s="162" t="e">
        <f t="shared" si="2"/>
        <v>#DIV/0!</v>
      </c>
      <c r="F12" s="165">
        <v>31.2</v>
      </c>
      <c r="G12" s="162" t="e">
        <f t="shared" si="3"/>
        <v>#DIV/0!</v>
      </c>
      <c r="H12" s="163">
        <v>52</v>
      </c>
      <c r="I12" s="162" t="e">
        <f t="shared" si="4"/>
        <v>#DIV/0!</v>
      </c>
    </row>
    <row r="13" spans="1:9" x14ac:dyDescent="0.3">
      <c r="A13" s="164">
        <v>90</v>
      </c>
      <c r="B13" s="163">
        <f t="shared" si="0"/>
        <v>1.5</v>
      </c>
      <c r="C13" s="160" t="e">
        <f t="shared" si="1"/>
        <v>#DIV/0!</v>
      </c>
      <c r="D13" s="165">
        <v>43.173808982921443</v>
      </c>
      <c r="E13" s="162" t="e">
        <f t="shared" si="2"/>
        <v>#DIV/0!</v>
      </c>
      <c r="F13" s="165">
        <v>33.299999999999997</v>
      </c>
      <c r="G13" s="162" t="e">
        <f t="shared" si="3"/>
        <v>#DIV/0!</v>
      </c>
      <c r="H13" s="163">
        <v>56.3</v>
      </c>
      <c r="I13" s="162" t="e">
        <f t="shared" si="4"/>
        <v>#DIV/0!</v>
      </c>
    </row>
    <row r="14" spans="1:9" x14ac:dyDescent="0.3">
      <c r="A14" s="164">
        <v>105</v>
      </c>
      <c r="B14" s="163">
        <f t="shared" si="0"/>
        <v>1.75</v>
      </c>
      <c r="C14" s="160" t="e">
        <f t="shared" si="1"/>
        <v>#DIV/0!</v>
      </c>
      <c r="D14" s="165">
        <v>45.856041362825643</v>
      </c>
      <c r="E14" s="162" t="e">
        <f t="shared" si="2"/>
        <v>#DIV/0!</v>
      </c>
      <c r="F14" s="165">
        <v>35.200000000000003</v>
      </c>
      <c r="G14" s="162" t="e">
        <f t="shared" si="3"/>
        <v>#DIV/0!</v>
      </c>
      <c r="H14" s="163">
        <v>60.3</v>
      </c>
      <c r="I14" s="162" t="e">
        <f t="shared" si="4"/>
        <v>#DIV/0!</v>
      </c>
    </row>
    <row r="15" spans="1:9" x14ac:dyDescent="0.3">
      <c r="A15" s="164">
        <v>120</v>
      </c>
      <c r="B15" s="163">
        <f t="shared" si="0"/>
        <v>2</v>
      </c>
      <c r="C15" s="160" t="e">
        <f t="shared" si="1"/>
        <v>#DIV/0!</v>
      </c>
      <c r="D15" s="165">
        <v>48.313823869024141</v>
      </c>
      <c r="E15" s="162" t="e">
        <f t="shared" si="2"/>
        <v>#DIV/0!</v>
      </c>
      <c r="F15" s="165">
        <v>36.9</v>
      </c>
      <c r="G15" s="162" t="e">
        <f t="shared" si="3"/>
        <v>#DIV/0!</v>
      </c>
      <c r="H15" s="163">
        <v>63.9</v>
      </c>
      <c r="I15" s="162" t="e">
        <f t="shared" si="4"/>
        <v>#DIV/0!</v>
      </c>
    </row>
    <row r="16" spans="1:9" x14ac:dyDescent="0.3">
      <c r="A16" s="164">
        <v>150</v>
      </c>
      <c r="B16" s="163">
        <f t="shared" si="0"/>
        <v>2.5</v>
      </c>
      <c r="C16" s="160" t="e">
        <f t="shared" si="1"/>
        <v>#DIV/0!</v>
      </c>
      <c r="D16" s="163">
        <v>52.718522097057985</v>
      </c>
      <c r="E16" s="162" t="e">
        <f t="shared" si="2"/>
        <v>#DIV/0!</v>
      </c>
      <c r="F16" s="163">
        <v>39.9</v>
      </c>
      <c r="G16" s="162" t="e">
        <f t="shared" si="3"/>
        <v>#DIV/0!</v>
      </c>
      <c r="H16" s="163">
        <v>70.5</v>
      </c>
      <c r="I16" s="162" t="e">
        <f t="shared" si="4"/>
        <v>#DIV/0!</v>
      </c>
    </row>
    <row r="17" spans="1:9" x14ac:dyDescent="0.3">
      <c r="A17" s="164">
        <v>210</v>
      </c>
      <c r="B17" s="163">
        <f t="shared" si="0"/>
        <v>3.5</v>
      </c>
      <c r="C17" s="160" t="e">
        <f t="shared" si="1"/>
        <v>#DIV/0!</v>
      </c>
      <c r="D17" s="163">
        <v>60.131119403029295</v>
      </c>
      <c r="E17" s="162" t="e">
        <f t="shared" si="2"/>
        <v>#DIV/0!</v>
      </c>
      <c r="F17" s="163">
        <v>45</v>
      </c>
      <c r="G17" s="162" t="e">
        <f t="shared" si="3"/>
        <v>#DIV/0!</v>
      </c>
      <c r="H17" s="163">
        <v>81.8</v>
      </c>
      <c r="I17" s="162" t="e">
        <f t="shared" si="4"/>
        <v>#DIV/0!</v>
      </c>
    </row>
    <row r="18" spans="1:9" x14ac:dyDescent="0.3">
      <c r="A18" s="164">
        <v>360</v>
      </c>
      <c r="B18" s="163">
        <f t="shared" si="0"/>
        <v>6</v>
      </c>
      <c r="C18" s="160" t="e">
        <f t="shared" si="1"/>
        <v>#DIV/0!</v>
      </c>
      <c r="D18" s="163">
        <v>65.502113459564043</v>
      </c>
      <c r="E18" s="162" t="e">
        <f t="shared" si="2"/>
        <v>#DIV/0!</v>
      </c>
      <c r="F18" s="163">
        <v>49.4</v>
      </c>
      <c r="G18" s="162" t="e">
        <f t="shared" si="3"/>
        <v>#DIV/0!</v>
      </c>
      <c r="H18" s="163">
        <v>89.8</v>
      </c>
      <c r="I18" s="162" t="e">
        <f t="shared" si="4"/>
        <v>#DIV/0!</v>
      </c>
    </row>
    <row r="19" spans="1:9" x14ac:dyDescent="0.3">
      <c r="A19" s="164">
        <v>480</v>
      </c>
      <c r="B19" s="163">
        <f t="shared" si="0"/>
        <v>8</v>
      </c>
      <c r="C19" s="160" t="e">
        <f t="shared" si="1"/>
        <v>#DIV/0!</v>
      </c>
      <c r="D19" s="163">
        <v>69.182089193917108</v>
      </c>
      <c r="E19" s="162" t="e">
        <f t="shared" si="2"/>
        <v>#DIV/0!</v>
      </c>
      <c r="F19" s="163">
        <v>52.8</v>
      </c>
      <c r="G19" s="162" t="e">
        <f t="shared" si="3"/>
        <v>#DIV/0!</v>
      </c>
      <c r="H19" s="163">
        <v>93.2</v>
      </c>
      <c r="I19" s="162" t="e">
        <f t="shared" si="4"/>
        <v>#DIV/0!</v>
      </c>
    </row>
    <row r="20" spans="1:9" x14ac:dyDescent="0.3">
      <c r="A20" s="164">
        <v>600</v>
      </c>
      <c r="B20" s="163">
        <f t="shared" si="0"/>
        <v>10</v>
      </c>
      <c r="C20" s="160" t="e">
        <f t="shared" si="1"/>
        <v>#DIV/0!</v>
      </c>
      <c r="D20" s="163">
        <v>72.178287764889262</v>
      </c>
      <c r="E20" s="162" t="e">
        <f t="shared" si="2"/>
        <v>#DIV/0!</v>
      </c>
      <c r="F20" s="163">
        <v>55.7</v>
      </c>
      <c r="G20" s="162" t="e">
        <f t="shared" si="3"/>
        <v>#DIV/0!</v>
      </c>
      <c r="H20" s="163">
        <v>95.9</v>
      </c>
      <c r="I20" s="162" t="e">
        <f t="shared" si="4"/>
        <v>#DIV/0!</v>
      </c>
    </row>
    <row r="21" spans="1:9" x14ac:dyDescent="0.3">
      <c r="A21" s="164">
        <v>720</v>
      </c>
      <c r="B21" s="163">
        <f t="shared" si="0"/>
        <v>12</v>
      </c>
      <c r="C21" s="160" t="e">
        <f t="shared" si="1"/>
        <v>#DIV/0!</v>
      </c>
      <c r="D21" s="163">
        <v>74.722434347367354</v>
      </c>
      <c r="E21" s="162" t="e">
        <f t="shared" si="2"/>
        <v>#DIV/0!</v>
      </c>
      <c r="F21" s="163">
        <v>58.1</v>
      </c>
      <c r="G21" s="162" t="e">
        <f t="shared" si="3"/>
        <v>#DIV/0!</v>
      </c>
      <c r="H21" s="163">
        <v>98.2</v>
      </c>
      <c r="I21" s="162" t="e">
        <f t="shared" si="4"/>
        <v>#DIV/0!</v>
      </c>
    </row>
    <row r="22" spans="1:9" x14ac:dyDescent="0.3">
      <c r="A22" s="164">
        <v>840</v>
      </c>
      <c r="B22" s="163">
        <f t="shared" si="0"/>
        <v>14</v>
      </c>
      <c r="C22" s="160" t="e">
        <f t="shared" si="1"/>
        <v>#DIV/0!</v>
      </c>
      <c r="D22" s="163">
        <v>76.943316556968796</v>
      </c>
      <c r="E22" s="162" t="e">
        <f t="shared" si="2"/>
        <v>#DIV/0!</v>
      </c>
      <c r="F22" s="163">
        <v>60.3</v>
      </c>
      <c r="G22" s="162" t="e">
        <f t="shared" si="3"/>
        <v>#DIV/0!</v>
      </c>
      <c r="H22" s="163">
        <v>100.2</v>
      </c>
      <c r="I22" s="162" t="e">
        <f t="shared" si="4"/>
        <v>#DIV/0!</v>
      </c>
    </row>
    <row r="23" spans="1:9" x14ac:dyDescent="0.3">
      <c r="A23" s="164">
        <v>960</v>
      </c>
      <c r="B23" s="163">
        <f t="shared" si="0"/>
        <v>16</v>
      </c>
      <c r="C23" s="160" t="e">
        <f t="shared" si="1"/>
        <v>#DIV/0!</v>
      </c>
      <c r="D23" s="163">
        <v>78.920417140393653</v>
      </c>
      <c r="E23" s="162" t="e">
        <f t="shared" si="2"/>
        <v>#DIV/0!</v>
      </c>
      <c r="F23" s="163">
        <v>62.2</v>
      </c>
      <c r="G23" s="162" t="e">
        <f t="shared" si="3"/>
        <v>#DIV/0!</v>
      </c>
      <c r="H23" s="163">
        <v>101.9</v>
      </c>
      <c r="I23" s="162" t="e">
        <f t="shared" si="4"/>
        <v>#DIV/0!</v>
      </c>
    </row>
    <row r="24" spans="1:9" x14ac:dyDescent="0.3">
      <c r="A24" s="164">
        <v>1080</v>
      </c>
      <c r="B24" s="163">
        <f t="shared" si="0"/>
        <v>18</v>
      </c>
      <c r="C24" s="160" t="e">
        <f t="shared" si="1"/>
        <v>#DIV/0!</v>
      </c>
      <c r="D24" s="163">
        <v>80.706469837102816</v>
      </c>
      <c r="E24" s="162" t="e">
        <f t="shared" si="2"/>
        <v>#DIV/0!</v>
      </c>
      <c r="F24" s="163">
        <v>64</v>
      </c>
      <c r="G24" s="162" t="e">
        <f t="shared" si="3"/>
        <v>#DIV/0!</v>
      </c>
      <c r="H24" s="163">
        <v>103.5</v>
      </c>
      <c r="I24" s="162" t="e">
        <f t="shared" si="4"/>
        <v>#DIV/0!</v>
      </c>
    </row>
    <row r="25" spans="1:9" x14ac:dyDescent="0.3">
      <c r="A25" s="164">
        <v>1200</v>
      </c>
      <c r="B25" s="163">
        <f t="shared" si="0"/>
        <v>20</v>
      </c>
      <c r="C25" s="160" t="e">
        <f t="shared" si="1"/>
        <v>#DIV/0!</v>
      </c>
      <c r="D25" s="163">
        <v>82.338371755695491</v>
      </c>
      <c r="E25" s="162" t="e">
        <f t="shared" si="2"/>
        <v>#DIV/0!</v>
      </c>
      <c r="F25" s="163">
        <v>65.599999999999994</v>
      </c>
      <c r="G25" s="162" t="e">
        <f t="shared" si="3"/>
        <v>#DIV/0!</v>
      </c>
      <c r="H25" s="163">
        <v>104.9</v>
      </c>
      <c r="I25" s="162" t="e">
        <f t="shared" si="4"/>
        <v>#DIV/0!</v>
      </c>
    </row>
    <row r="26" spans="1:9" x14ac:dyDescent="0.3">
      <c r="A26" s="164">
        <v>1320</v>
      </c>
      <c r="B26" s="163">
        <f t="shared" si="0"/>
        <v>22</v>
      </c>
      <c r="C26" s="160" t="e">
        <f t="shared" si="1"/>
        <v>#DIV/0!</v>
      </c>
      <c r="D26" s="163">
        <v>83.843014529014553</v>
      </c>
      <c r="E26" s="162" t="e">
        <f t="shared" si="2"/>
        <v>#DIV/0!</v>
      </c>
      <c r="F26" s="163">
        <v>67.099999999999994</v>
      </c>
      <c r="G26" s="162" t="e">
        <f t="shared" si="3"/>
        <v>#DIV/0!</v>
      </c>
      <c r="H26" s="163">
        <v>106.2</v>
      </c>
      <c r="I26" s="162" t="e">
        <f t="shared" si="4"/>
        <v>#DIV/0!</v>
      </c>
    </row>
    <row r="27" spans="1:9" x14ac:dyDescent="0.3">
      <c r="A27" s="164">
        <v>1440</v>
      </c>
      <c r="B27" s="163">
        <f t="shared" si="0"/>
        <v>24</v>
      </c>
      <c r="C27" s="160" t="e">
        <f t="shared" si="1"/>
        <v>#DIV/0!</v>
      </c>
      <c r="D27" s="163">
        <v>85.240641864837158</v>
      </c>
      <c r="E27" s="162" t="e">
        <f t="shared" si="2"/>
        <v>#DIV/0!</v>
      </c>
      <c r="F27" s="163">
        <v>68.5</v>
      </c>
      <c r="G27" s="162" t="e">
        <f t="shared" si="3"/>
        <v>#DIV/0!</v>
      </c>
      <c r="H27" s="163">
        <v>107.4</v>
      </c>
      <c r="I27" s="162" t="e">
        <f t="shared" si="4"/>
        <v>#DIV/0!</v>
      </c>
    </row>
    <row r="28" spans="1:9" ht="15" thickBot="1" x14ac:dyDescent="0.35">
      <c r="A28" s="166"/>
      <c r="B28" s="166"/>
      <c r="C28" s="166"/>
      <c r="D28" s="166"/>
      <c r="E28" s="166"/>
    </row>
    <row r="29" spans="1:9" x14ac:dyDescent="0.3">
      <c r="A29" s="167" t="s">
        <v>54</v>
      </c>
      <c r="B29" s="287">
        <f>'Pluie exceptionnelles'!F11/10000</f>
        <v>0</v>
      </c>
      <c r="C29" s="168" t="s">
        <v>27</v>
      </c>
      <c r="E29" s="166"/>
    </row>
    <row r="30" spans="1:9" ht="15" thickBot="1" x14ac:dyDescent="0.35">
      <c r="A30" s="169" t="s">
        <v>72</v>
      </c>
      <c r="B30" s="170">
        <f>'Pluie exceptionnelles'!D22</f>
        <v>0</v>
      </c>
      <c r="C30" s="171" t="s">
        <v>28</v>
      </c>
      <c r="E30" s="166"/>
    </row>
    <row r="31" spans="1:9" x14ac:dyDescent="0.3">
      <c r="A31" s="172" t="s">
        <v>73</v>
      </c>
      <c r="B31" s="173" t="e">
        <f>MAX(G2:G27)</f>
        <v>#DIV/0!</v>
      </c>
      <c r="C31" s="174" t="s">
        <v>17</v>
      </c>
      <c r="E31" s="166"/>
    </row>
    <row r="32" spans="1:9" ht="15.6" x14ac:dyDescent="0.3">
      <c r="A32" s="172" t="s">
        <v>74</v>
      </c>
      <c r="B32" s="192" t="e">
        <f>B31*B29*10</f>
        <v>#DIV/0!</v>
      </c>
      <c r="C32" s="174" t="s">
        <v>32</v>
      </c>
      <c r="E32" s="166"/>
    </row>
    <row r="33" spans="1:10" x14ac:dyDescent="0.3">
      <c r="A33" s="175" t="s">
        <v>33</v>
      </c>
      <c r="B33" s="176" t="e">
        <f>((B32*1000)/B30)/3600</f>
        <v>#DIV/0!</v>
      </c>
      <c r="C33" s="177" t="s">
        <v>34</v>
      </c>
      <c r="E33" s="166"/>
    </row>
    <row r="34" spans="1:10" x14ac:dyDescent="0.3">
      <c r="A34" s="172" t="s">
        <v>75</v>
      </c>
      <c r="B34" s="178" t="e">
        <f>MAX(E2:E27)</f>
        <v>#DIV/0!</v>
      </c>
      <c r="C34" s="174" t="s">
        <v>17</v>
      </c>
      <c r="E34" s="166"/>
    </row>
    <row r="35" spans="1:10" ht="15.6" x14ac:dyDescent="0.3">
      <c r="A35" s="172" t="s">
        <v>76</v>
      </c>
      <c r="B35" s="190" t="e">
        <f>B34*B29*10</f>
        <v>#DIV/0!</v>
      </c>
      <c r="C35" s="174" t="s">
        <v>32</v>
      </c>
      <c r="E35" s="166"/>
    </row>
    <row r="36" spans="1:10" x14ac:dyDescent="0.3">
      <c r="A36" s="175" t="s">
        <v>33</v>
      </c>
      <c r="B36" s="179" t="e">
        <f>((B35*1000)/B30)/3600</f>
        <v>#DIV/0!</v>
      </c>
      <c r="C36" s="177" t="s">
        <v>34</v>
      </c>
      <c r="E36" s="166"/>
    </row>
    <row r="37" spans="1:10" x14ac:dyDescent="0.3">
      <c r="A37" s="172" t="s">
        <v>77</v>
      </c>
      <c r="B37" s="180" t="e">
        <f>MAX(I2:I27)</f>
        <v>#DIV/0!</v>
      </c>
      <c r="C37" s="174" t="s">
        <v>17</v>
      </c>
      <c r="E37" s="166"/>
    </row>
    <row r="38" spans="1:10" ht="15.6" x14ac:dyDescent="0.3">
      <c r="A38" s="172" t="s">
        <v>78</v>
      </c>
      <c r="B38" s="191" t="e">
        <f>B37*B29*10</f>
        <v>#DIV/0!</v>
      </c>
      <c r="C38" s="174" t="s">
        <v>32</v>
      </c>
      <c r="D38" s="166"/>
      <c r="E38" s="166"/>
    </row>
    <row r="39" spans="1:10" ht="15" thickBot="1" x14ac:dyDescent="0.35">
      <c r="A39" s="169" t="s">
        <v>33</v>
      </c>
      <c r="B39" s="181" t="e">
        <f>((B38*1000)/B30)/3600</f>
        <v>#DIV/0!</v>
      </c>
      <c r="C39" s="182" t="s">
        <v>34</v>
      </c>
    </row>
    <row r="40" spans="1:10" x14ac:dyDescent="0.3">
      <c r="A40" s="183"/>
      <c r="B40" s="184"/>
    </row>
    <row r="41" spans="1:10" x14ac:dyDescent="0.3">
      <c r="A41" s="183"/>
    </row>
    <row r="43" spans="1:10" x14ac:dyDescent="0.3">
      <c r="J43" s="185"/>
    </row>
  </sheetData>
  <conditionalFormatting sqref="E2:E27">
    <cfRule type="top10" dxfId="2" priority="3" rank="1"/>
  </conditionalFormatting>
  <conditionalFormatting sqref="I2:I27">
    <cfRule type="top10" dxfId="1" priority="2" rank="1"/>
  </conditionalFormatting>
  <conditionalFormatting sqref="G2:G27">
    <cfRule type="top10" dxfId="0" priority="1" rank="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Mode d'emploi</vt:lpstr>
      <vt:lpstr>Estimation de V30</vt:lpstr>
      <vt:lpstr>Feuill calcul Estimation V30</vt:lpstr>
      <vt:lpstr>Section A</vt:lpstr>
      <vt:lpstr>Feuille calcul V30 section A</vt:lpstr>
      <vt:lpstr>Section B</vt:lpstr>
      <vt:lpstr>Feuille calcul V30 section B</vt:lpstr>
      <vt:lpstr>Pluie exceptionnelles</vt:lpstr>
      <vt:lpstr>méth pluie 0-24H coef SDA_2024</vt:lpstr>
      <vt:lpstr>INFILTRATION</vt:lpstr>
      <vt:lpstr>paramètres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rétention des EP d'un petit BV</dc:title>
  <dc:subject>Montana</dc:subject>
  <dc:creator>BANNERY Fabienne</dc:creator>
  <dc:description>permet de calculer à partir de la formule de Montana, le volume de rétention d'un petit BV en fonction de sa surface active et son débit de fuite</dc:description>
  <cp:lastModifiedBy>BANNERY Fabienne</cp:lastModifiedBy>
  <cp:lastPrinted>2015-06-09T08:48:59Z</cp:lastPrinted>
  <dcterms:created xsi:type="dcterms:W3CDTF">2007-11-30T13:37:38Z</dcterms:created>
  <dcterms:modified xsi:type="dcterms:W3CDTF">2023-10-26T12:27:15Z</dcterms:modified>
</cp:coreProperties>
</file>